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2120" windowHeight="4560" activeTab="0"/>
  </bookViews>
  <sheets>
    <sheet name="Доходы" sheetId="1" r:id="rId1"/>
    <sheet name="Вед." sheetId="2" r:id="rId2"/>
    <sheet name="Ист." sheetId="3" r:id="rId3"/>
  </sheets>
  <externalReferences>
    <externalReference r:id="rId6"/>
  </externalReferences>
  <definedNames>
    <definedName name="_xlnm.Print_Titles" localSheetId="1">'Вед.'!$8:$8</definedName>
    <definedName name="_xlnm.Print_Titles" localSheetId="0">'Доходы'!$8:$8</definedName>
  </definedNames>
  <calcPr fullCalcOnLoad="1"/>
</workbook>
</file>

<file path=xl/sharedStrings.xml><?xml version="1.0" encoding="utf-8"?>
<sst xmlns="http://schemas.openxmlformats.org/spreadsheetml/2006/main" count="535" uniqueCount="358">
  <si>
    <t>1-й квартал,  тыс.руб.</t>
  </si>
  <si>
    <t>2-й квартал,  тыс.руб.</t>
  </si>
  <si>
    <t>3-й квартал,  тыс.руб.</t>
  </si>
  <si>
    <t>4-й квартал,  тыс.руб.</t>
  </si>
  <si>
    <t>НАЛОГИ  НА СОВОКУПНЫЙ ДОХОД</t>
  </si>
  <si>
    <t>НАЛОГИ  НА  ИМУЩЕСТВО</t>
  </si>
  <si>
    <t>Налог на имущество физических лиц</t>
  </si>
  <si>
    <t>ИТОГО     ДОХОДОВ</t>
  </si>
  <si>
    <t>000 1 00 00000 00 0000 000</t>
  </si>
  <si>
    <t>000 1 05 00000 00 0000 000</t>
  </si>
  <si>
    <t>000 1 06 00000 00 0000 000</t>
  </si>
  <si>
    <t>000 1 09 00000 00 0000 000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</si>
  <si>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</si>
  <si>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</si>
  <si>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</si>
  <si>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182 1 06 01010 03 0000 110</t>
  </si>
  <si>
    <t>ЗАДОЛЖЕННОСТЬ  И ПЕРЕРАСЧЕТЫ ПО ОТМЕНЕННЫМ НАЛОГАМ, СБОРАМ И ИНЫМ ОБЯЗАТЕЛЬНЫМ ПЛАТЕЖАМ</t>
  </si>
  <si>
    <t>Налоги на имущество</t>
  </si>
  <si>
    <t>Налог с имущества , переходящего в порядке наследования или дарения</t>
  </si>
  <si>
    <t>182 1 09 04040 01 0000 110</t>
  </si>
  <si>
    <t>000 1 16 90000 00 0000 140</t>
  </si>
  <si>
    <t>БЕЗВОЗМЕЗДНЫЕ ПОСТУПЛЕНИЯ</t>
  </si>
  <si>
    <t>000 2 00 00000 00 0000 000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</si>
  <si>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</si>
  <si>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</si>
  <si>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000 1 16 90030 03 0000 140</t>
  </si>
  <si>
    <t>1-й квартал тыс.руб.</t>
  </si>
  <si>
    <t>2-й квартал тыс.руб.</t>
  </si>
  <si>
    <t>3-й квартал тыс.руб.</t>
  </si>
  <si>
    <t>4-й квартал тыс.руб.</t>
  </si>
  <si>
    <t>2-й квартал тыс.руб</t>
  </si>
  <si>
    <t>3-й квартал тыс.руб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</si>
  <si>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</si>
  <si>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</si>
  <si>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</si>
  <si>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000 1 13 00000 00 0000 000</t>
  </si>
  <si>
    <t>000 1 13 03000 00 0000 130</t>
  </si>
  <si>
    <t>000 1 13 03030 03 0000 130</t>
  </si>
  <si>
    <t>Код</t>
  </si>
  <si>
    <t>Наименование источников доходов</t>
  </si>
  <si>
    <t>Наименование</t>
  </si>
  <si>
    <t xml:space="preserve">       </t>
  </si>
  <si>
    <t>911 1 16 23030 03 0000 140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</si>
  <si>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</si>
  <si>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</si>
  <si>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</si>
  <si>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</si>
  <si>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</si>
  <si>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</si>
  <si>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911 1 17 05030 03 0000 180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</si>
  <si>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</si>
  <si>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000 2 02 00000 00 0000 000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</si>
  <si>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</si>
  <si>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 Москвы и Санкт-Петербурга на выполнение  передаваемых полномочий субъектов Российской Федерации</t>
  </si>
  <si>
    <t xml:space="preserve"> 911 2 02 03027 03 0100 151 </t>
  </si>
  <si>
    <t xml:space="preserve"> 911 2 02 03027 03 0200 151 </t>
  </si>
  <si>
    <t>Сумма                          (тыс. руб.)</t>
  </si>
  <si>
    <t>911 01 05 02 01 03 0000 610</t>
  </si>
  <si>
    <t>000 1 16 90030 03 0100 140</t>
  </si>
  <si>
    <t>000 1 16 06000 01 0000 140</t>
  </si>
  <si>
    <t>000 2 02 01000 00 0000 151</t>
  </si>
  <si>
    <t>Дотации бюджетам субъектов Российской Федерации и муниципальных образований</t>
  </si>
  <si>
    <t>000 2 02 01003 00 0000 151</t>
  </si>
  <si>
    <t>Дотации бюджетам на поддержку мер по обеспечению сбалансированности бюджетов</t>
  </si>
  <si>
    <t>911 2 02 01003 03 0000 151</t>
  </si>
  <si>
    <t>Дотации бюджетам внутригородских муниципальных образований городов федерального значения Москвы и Санкт-Петербурга на поддержку мер по обеспечению сбалансированности бюджетов</t>
  </si>
  <si>
    <t>Прочие дотации</t>
  </si>
  <si>
    <t>Прочие дотации бюджетам внутригородских муниципальных образований городов федерального значения Москвы и Санкт-Петербурга</t>
  </si>
  <si>
    <t>000 2 03 00000 00 0000 180</t>
  </si>
  <si>
    <t>БЕЗВОЗМЕЗДНЫЕ ПОСТУПЛЕНИЯ ОТ ГОСУДАРСТВЕННЫХ (МУНИЦИПАЛЬНЫХ) ОРГАНИЗАЦИЙ</t>
  </si>
  <si>
    <t>911 2 03 03000 03 0000 180</t>
  </si>
  <si>
    <t>Безвозмездные поступления от государственных организаций в бюджеты внутригородских муниципальных образований городов федерального значения Москвы и Санкт-Петербурга</t>
  </si>
  <si>
    <t>000 2 07 00000 00 0000 180</t>
  </si>
  <si>
    <t>ПРОЧИЕ БЕЗВОЗМЕЗДНЫЕ ПОСТУПЛЕНИЯ</t>
  </si>
  <si>
    <t>911 2 07 03000 03 0000 180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</si>
  <si>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</si>
  <si>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911 2 02 03024 03 0100 151</t>
  </si>
  <si>
    <t>911 2 02 03024 03 0200 151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</si>
  <si>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</si>
  <si>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182 1 05 01000 00 0000 110</t>
  </si>
  <si>
    <t>182 1 06 01000 00 0000 110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</si>
  <si>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</si>
  <si>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</si>
  <si>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 xml:space="preserve"> 000 2 02 01999 00 0000 151</t>
  </si>
  <si>
    <t xml:space="preserve">  911 2 02 01999 03 0000 151</t>
  </si>
  <si>
    <t>000 1 17 01000 00 0000 180</t>
  </si>
  <si>
    <t>Невыясненные поступления</t>
  </si>
  <si>
    <t>911 1 17 01030 03 0000 180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</si>
  <si>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</si>
  <si>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</si>
  <si>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</si>
  <si>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</si>
  <si>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</si>
  <si>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Единый налог на вмененный доход для отдельных видов деятельности 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</si>
  <si>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</si>
  <si>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</si>
  <si>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</si>
  <si>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Москвы и Санкт-Петербурга на содержание ребенка в семье опекуна и приемной семье, а также  вознаграждение, причитающееся приемному родителю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</si>
  <si>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</si>
  <si>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</si>
  <si>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</si>
  <si>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000 2 02 03000 00 0000 151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</si>
  <si>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</si>
  <si>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000 1 16 23000 00 0000 140</t>
  </si>
  <si>
    <t>000 1 16 33000 00 0000 140</t>
  </si>
  <si>
    <t>000 1 16 18000 00 0000 140</t>
  </si>
  <si>
    <t xml:space="preserve">Денежные взыскания (штрафы) за нарушение бюджетного законодательства Российской Федерации </t>
  </si>
  <si>
    <t>000 1 16 32000 00 0000 140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</si>
  <si>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</si>
  <si>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</si>
  <si>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</si>
  <si>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</si>
  <si>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</si>
  <si>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</si>
  <si>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</si>
  <si>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</si>
  <si>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БЕЗВОЗМЕЗДНЫЕ ПОСТУПЛЕНИЯ ОТ ДРУГИХ БЮДЖЕТОВ БЮДЖЕТНОЙ СИСТЕМЫ РОСИЙСКОЙ ФЕДЕРАЦИИ</t>
  </si>
  <si>
    <t>911 2 08 03000 03 0000 180</t>
  </si>
  <si>
    <t>867 1 13 03030 03 0100 130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</si>
  <si>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</si>
  <si>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000 1 16 18030 03 0000 140</t>
  </si>
  <si>
    <t>000 1 16 21030 03 0000 140</t>
  </si>
  <si>
    <t>000 1 16 32000 03 0000 140</t>
  </si>
  <si>
    <t>834 1 16 33030 03 0000140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</si>
  <si>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</si>
  <si>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847 1 16 90030 03 0200 140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</si>
  <si>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</si>
  <si>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</si>
  <si>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182 1 05 01010 00 0000 110</t>
  </si>
  <si>
    <t>182 1 05 01011 01 0000 110</t>
  </si>
  <si>
    <t>182 1 05 01012 01 0000 110</t>
  </si>
  <si>
    <t>182 1 05  01020 00 0000 110</t>
  </si>
  <si>
    <t>182 1 05  01021 01 0000 110</t>
  </si>
  <si>
    <t>182 1 05  01022 01 0000 110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</si>
  <si>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</si>
  <si>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</si>
  <si>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</si>
  <si>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 xml:space="preserve">Минимальный налог, зачисляемый в бюджеты субъектов Российской Федерации </t>
  </si>
  <si>
    <t>182 1 05 02000 00 0000 110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</si>
  <si>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</si>
  <si>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</si>
  <si>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</si>
  <si>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182 1 09 04000 00 0000 110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</si>
  <si>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</si>
  <si>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911 2 02 03024 03 0000 151</t>
  </si>
  <si>
    <t xml:space="preserve">911 2 02 03027 03 0000 151 </t>
  </si>
  <si>
    <t>ДОХОДЫ МЕСТНОГО БЮДЖЕТА ВНУТРИГОРОДСКОГО МУНИЦИПАЛЬНОГО ОБРАЗОВАНИЯ САНКТ-ПЕТЕРБУРГА                                                                                                         МУНИЦИПАЛЬНЫЙ ОКРУГ ОСТРОВ ДЕКАБРИСТОВ НА 2012 ГОД.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</si>
  <si>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</si>
  <si>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</si>
  <si>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</si>
  <si>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</si>
  <si>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</si>
  <si>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Код вида расходов</t>
  </si>
  <si>
    <t>СУММА, год.  тыс.руб.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</si>
  <si>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</si>
  <si>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</si>
  <si>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</si>
  <si>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</si>
  <si>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</si>
  <si>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</si>
  <si>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911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</si>
  <si>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</si>
  <si>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</si>
  <si>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</si>
  <si>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</si>
  <si>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</si>
  <si>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002 01 00</t>
  </si>
  <si>
    <t>Выпонение функций органами местного самоуправления</t>
  </si>
  <si>
    <t>500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</si>
  <si>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</si>
  <si>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</si>
  <si>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</si>
  <si>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</si>
  <si>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Депутаты представительного органа муниципального образования</t>
  </si>
  <si>
    <t>002 03 00</t>
  </si>
  <si>
    <t>1.2.2.</t>
  </si>
  <si>
    <t>Аппарат представительного органа муниципального образования</t>
  </si>
  <si>
    <t>002 04 00</t>
  </si>
  <si>
    <t>1.3.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</si>
  <si>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</si>
  <si>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</si>
  <si>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</si>
  <si>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002 05 00</t>
  </si>
  <si>
    <t>Местная администрация (исполнительно-распорядительный орган муниципального образования)</t>
  </si>
  <si>
    <t>002 06 00</t>
  </si>
  <si>
    <t>Содержание и обеспечение деятельности местной администрации по решению вопросов местного значения</t>
  </si>
  <si>
    <t>002 06 01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</si>
  <si>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</si>
  <si>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</si>
  <si>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</si>
  <si>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</si>
  <si>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>1.4.</t>
  </si>
  <si>
    <t>Резервные фонды</t>
  </si>
  <si>
    <t>0111</t>
  </si>
  <si>
    <t>Резервный фонд местной администации</t>
  </si>
  <si>
    <t>070 01 00</t>
  </si>
  <si>
    <t>Прочие расходы</t>
  </si>
  <si>
    <t>013</t>
  </si>
  <si>
    <t>1.5.</t>
  </si>
  <si>
    <t>Другие общегосударственные вопросы</t>
  </si>
  <si>
    <t>0113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</si>
  <si>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</si>
  <si>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</si>
  <si>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Субсидии некоммерческим организациям</t>
  </si>
  <si>
    <t>019</t>
  </si>
  <si>
    <t>Членские взносы в Совет муниципальных образований Санкт-Петербурга</t>
  </si>
  <si>
    <t>092 03 00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</si>
  <si>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</si>
  <si>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</si>
  <si>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</si>
  <si>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</si>
  <si>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</si>
  <si>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</si>
  <si>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795 01 00</t>
  </si>
  <si>
    <t>3.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</si>
  <si>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</si>
  <si>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</si>
  <si>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</si>
  <si>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</si>
  <si>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</si>
  <si>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</si>
  <si>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</si>
  <si>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 xml:space="preserve">600 01 01 </t>
  </si>
  <si>
    <t>Установка, 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</si>
  <si>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</si>
  <si>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</t>
  </si>
  <si>
    <t>600 01 04</t>
  </si>
  <si>
    <t>Благоустройство, связанное с обеспечением чистоты и порядка на территории муниципального образования</t>
  </si>
  <si>
    <t>600 02 00</t>
  </si>
  <si>
    <t>Ликвидация несанкционированных свалок бытовых отходов и мусора</t>
  </si>
  <si>
    <t>600 02 02</t>
  </si>
  <si>
    <t>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</si>
  <si>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600 02 03</t>
  </si>
  <si>
    <t>Озеленение территории муниципального образования</t>
  </si>
  <si>
    <t>600 03 00</t>
  </si>
  <si>
    <t>Озеленение  территорий зеленых насаждений внутриквартального озеленения, в том числе компенсационное озеленение</t>
  </si>
  <si>
    <t>600 03 01</t>
  </si>
  <si>
    <t>Ремонт зеленых насаждений внутриквартального озеленения, проведение санитарных рубок, а также  удаление аварийных, больных деревьев и кустарников</t>
  </si>
  <si>
    <t>600 03 02</t>
  </si>
  <si>
    <t>Прочее благоустройство</t>
  </si>
  <si>
    <t>600 04 00</t>
  </si>
  <si>
    <t>Создание зон отдыха, в т.ч. обустройство и содержание территорий детских площадок</t>
  </si>
  <si>
    <t>600 04 01</t>
  </si>
  <si>
    <t>Обустройство и содержание территорий спортивных площадок</t>
  </si>
  <si>
    <t>600 04 02</t>
  </si>
  <si>
    <t>Другие вопросы в области жилищно-коммунального хозяйства</t>
  </si>
  <si>
    <t>0505</t>
  </si>
  <si>
    <t>Содержание и обеспечение деятельности учреждений , подведомственных органам местного самоуправления, осуществляющих руководство и управление в сфере жилищно-коммунального хозяйства</t>
  </si>
  <si>
    <t>002 99 01</t>
  </si>
  <si>
    <t>Обеспечение деятельности подведомственных учреждений</t>
  </si>
  <si>
    <t>001</t>
  </si>
  <si>
    <t>4.</t>
  </si>
  <si>
    <t>ОБРАЗОВАНИЕ</t>
  </si>
  <si>
    <t>0700</t>
  </si>
  <si>
    <t>4.1.</t>
  </si>
  <si>
    <t>Молодежная политика и оздоровление детей</t>
  </si>
  <si>
    <t>0707</t>
  </si>
  <si>
    <t>4.1.1.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</si>
  <si>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</si>
  <si>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</si>
  <si>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4.1.2.</t>
  </si>
  <si>
    <t xml:space="preserve">Организация и проведение досуговых мероприятий для детей и подростков, проживающих на территории муниципального образования </t>
  </si>
  <si>
    <t>431 02 00</t>
  </si>
  <si>
    <t>4.1.3.</t>
  </si>
  <si>
    <t>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</si>
  <si>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795 04 00</t>
  </si>
  <si>
    <t>5.</t>
  </si>
  <si>
    <t xml:space="preserve">КУЛЬТУРА, КИНЕМАТОГРАФИЯ </t>
  </si>
  <si>
    <t>0800</t>
  </si>
  <si>
    <t>5.1.</t>
  </si>
  <si>
    <t>Культура</t>
  </si>
  <si>
    <t>0801</t>
  </si>
  <si>
    <t>5.1.1.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</si>
  <si>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</si>
  <si>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450 01 00</t>
  </si>
  <si>
    <t>5.1.2.</t>
  </si>
  <si>
    <t>Организация  и проведение мероприятий по сохранению и развитию местных традиций и обрядов</t>
  </si>
  <si>
    <t>450 02 00</t>
  </si>
  <si>
    <t>6.</t>
  </si>
  <si>
    <t>СОЦИАЛЬНАЯ ПОЛИТИКА</t>
  </si>
  <si>
    <t>1000</t>
  </si>
  <si>
    <t>6.1.</t>
  </si>
  <si>
    <t>Охрана семьи и детства</t>
  </si>
  <si>
    <t>1004</t>
  </si>
  <si>
    <t>6.1.1.</t>
  </si>
  <si>
    <t>Организация и осуществление деятельности по опеке и попечительству</t>
  </si>
  <si>
    <t>002 06 02</t>
  </si>
  <si>
    <t>6.1.2.</t>
  </si>
  <si>
    <t>Содержание ребенка в семье опекуна и приемной семье</t>
  </si>
  <si>
    <t>520 13 01</t>
  </si>
  <si>
    <t xml:space="preserve"> Вознаграждение приемному родителю</t>
  </si>
  <si>
    <t>520 13 02</t>
  </si>
  <si>
    <t>7.</t>
  </si>
  <si>
    <t xml:space="preserve">ФИЗИЧЕСКАЯ КУЛЬТУРА И СПОРТ </t>
  </si>
  <si>
    <t>1100</t>
  </si>
  <si>
    <t>7.1.</t>
  </si>
  <si>
    <t>Массовый спорт</t>
  </si>
  <si>
    <t>1102</t>
  </si>
  <si>
    <t>7.1.1.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</si>
  <si>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</si>
  <si>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512 01 00</t>
  </si>
  <si>
    <t>8.</t>
  </si>
  <si>
    <t>СРЕДСТВА МАССОВОЙ ИНФОРМАЦИИ</t>
  </si>
  <si>
    <t>1200</t>
  </si>
  <si>
    <t>8.1.</t>
  </si>
  <si>
    <t>Периодическая печать и издательства</t>
  </si>
  <si>
    <t>1202</t>
  </si>
  <si>
    <t>8.1.1.</t>
  </si>
  <si>
    <t>Периодические издания , учрежденные представительным органом местного самоуправления</t>
  </si>
  <si>
    <t>457 01 00</t>
  </si>
  <si>
    <t>ИТОГО РАСХОДОВ</t>
  </si>
  <si>
    <t>Приложение 3</t>
  </si>
  <si>
    <t>000 01 00 0000 00 0000 000</t>
  </si>
  <si>
    <t>ИСТОЧНИКИ ВНУТРЕННЕГО ФИНАНСИРОВАНИЯ ДЕФИЦИТОВ БЮДЖЕТОВ</t>
  </si>
  <si>
    <t>000 01 05 0000 00 0000 000</t>
  </si>
  <si>
    <t>Изменение остатков средств на счетах по учету средств бюджета</t>
  </si>
  <si>
    <t>911 01 05 0201 03 0000 510</t>
  </si>
  <si>
    <t>Итого источников финансирования дефицита бюджетов</t>
  </si>
  <si>
    <t>ВЕДОМСТВЕННАЯ СТРУКТУРА РАСХОДОВ МЕСТНОГО БЮДЖЕТА ВНУТРИГОРОДСКОГО МУНИЦИПАЛЬНОГО ОБРАЗОВАНИЯ САНКТ-ПЕТЕРБУРГА                                                                                                         МУНИЦИПАЛЬНЫЙ ОКРУГ ОСТРОВ ДЕКАБРИСТОВ НА 2012 ГОД.</t>
  </si>
  <si>
    <t>1003</t>
  </si>
  <si>
    <t>0400</t>
  </si>
  <si>
    <t>0401</t>
  </si>
  <si>
    <t>510 01 00</t>
  </si>
  <si>
    <t>НАЦИОНАЛЬНАЯ ЭКОНОМИКА</t>
  </si>
  <si>
    <t>Общеэкономические вопросы</t>
  </si>
  <si>
    <t>Социальное обеспечение населения</t>
  </si>
  <si>
    <t>505 01 00</t>
  </si>
  <si>
    <t>005</t>
  </si>
  <si>
    <t>Социальные выплаты</t>
  </si>
  <si>
    <t>Муниципальная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опастностей, возникающих при ведении военных действий или вследствие этих действий</t>
  </si>
  <si>
    <t>510 01 01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</si>
  <si>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мест.</t>
  </si>
  <si>
    <t>Временное трудоустройство несовершеннолетних в возрасте от 14 до 18 лет в свободное от учебы время</t>
  </si>
  <si>
    <t>Расходы на предоставление доплат к пенсии лицам, замещавшим муниципальные должности и должности муниципальной службы</t>
  </si>
  <si>
    <t>ИСТОЧНИКИ ФИНАНСИРОВАНИЯ ДЕФИЦИТА МЕСТНОГО БЮДЖЕТА НА 2012 ГОД</t>
  </si>
  <si>
    <t>911 2 18 03000 03 0000 000</t>
  </si>
  <si>
    <t>911 2 18 03010 03 0000 180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</si>
  <si>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</si>
  <si>
    <t>Доходы бюджетов внутригородских муниципальных образований городов федерального значения Москвы и Санкт-Петербурга от возврата остатков субсидий, субвенций и иных межбюджетных трансфертов, имеющих целевое назначение, прошлых лет</t>
  </si>
  <si>
    <t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 прошлых лет небюджетными организациями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</si>
  <si>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</si>
  <si>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</si>
  <si>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000 2 18 00000 00 0000 000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</si>
  <si>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</si>
  <si>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Приложение 2</t>
  </si>
  <si>
    <t xml:space="preserve">600 02 01 </t>
  </si>
  <si>
    <t>Оборудование контейнерных площадок на дворовых территориях</t>
  </si>
  <si>
    <t>4.1.4.</t>
  </si>
  <si>
    <t>4.2.</t>
  </si>
  <si>
    <t>5.1.3.</t>
  </si>
  <si>
    <t>7.1.2.</t>
  </si>
  <si>
    <t>7.1.3.</t>
  </si>
  <si>
    <t>9.</t>
  </si>
  <si>
    <t>9.1.</t>
  </si>
  <si>
    <t>9.1.1.</t>
  </si>
  <si>
    <t>к  Решению МС МО Остров Декабристов от 19.12.11г. № 42  "Об утверждении местного бюджета внутригородского муниципального образования Санкт-Петербурга муниципальный округ Остров Декабристов на 2012 год"</t>
  </si>
  <si>
    <t>к  Решению МС МО Остров Декабристов от 19.12.11г. № 42 "Об утверждении местного бюджета внутригородского муниципального образования Санкт-Петербурга муниципальный округ Остров Декабристов на 2012 год"</t>
  </si>
  <si>
    <t>к  Решению МС МО Остров Декабристов от 19.12.11г. №42   "Об утверждении местного бюджета внутригородского муниципального образования Санкт-Петербурга муниципальный округ Остров Декабристов на 2012 год"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</si>
</sst>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</numFmts>
  <fonts count="3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12"/>
      <name val="Arial"/>
      <family val="2"/>
    </font>
    <font>
      <b/>
      <sz val="8"/>
      <color indexed="12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8"/>
      <color indexed="17"/>
      <name val="Arial Cyr"/>
      <family val="0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"/>
      <family val="2"/>
    </font>
    <font>
      <b/>
      <sz val="8"/>
      <color indexed="60"/>
      <name val="Arial Cyr"/>
      <family val="0"/>
    </font>
    <font>
      <sz val="7"/>
      <color indexed="8"/>
      <name val="Arial"/>
      <family val="2"/>
    </font>
    <font>
      <sz val="7"/>
      <color indexed="60"/>
      <name val="Arial"/>
      <family val="2"/>
    </font>
    <font>
      <sz val="7"/>
      <color indexed="12"/>
      <name val="Arial"/>
      <family val="2"/>
    </font>
    <font>
      <b/>
      <sz val="7"/>
      <color indexed="60"/>
      <name val="Arial"/>
      <family val="2"/>
    </font>
    <font>
      <b/>
      <sz val="7"/>
      <color indexed="12"/>
      <name val="Arial"/>
      <family val="2"/>
    </font>
    <font>
      <b/>
      <sz val="7"/>
      <color indexed="8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2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2" fontId="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72" fontId="2" fillId="0" borderId="1" xfId="0" applyNumberFormat="1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172" fontId="2" fillId="0" borderId="3" xfId="0" applyNumberFormat="1" applyFont="1" applyBorder="1" applyAlignment="1">
      <alignment/>
    </xf>
    <xf numFmtId="172" fontId="5" fillId="0" borderId="1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172" fontId="11" fillId="0" borderId="1" xfId="0" applyNumberFormat="1" applyFont="1" applyFill="1" applyBorder="1" applyAlignment="1">
      <alignment/>
    </xf>
    <xf numFmtId="172" fontId="12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172" fontId="13" fillId="0" borderId="1" xfId="0" applyNumberFormat="1" applyFont="1" applyFill="1" applyBorder="1" applyAlignment="1">
      <alignment/>
    </xf>
    <xf numFmtId="172" fontId="1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172" fontId="2" fillId="0" borderId="5" xfId="0" applyNumberFormat="1" applyFont="1" applyBorder="1" applyAlignment="1">
      <alignment/>
    </xf>
    <xf numFmtId="2" fontId="2" fillId="0" borderId="6" xfId="0" applyNumberFormat="1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2" fontId="10" fillId="0" borderId="6" xfId="0" applyNumberFormat="1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72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8" fillId="0" borderId="1" xfId="0" applyFont="1" applyFill="1" applyBorder="1" applyAlignment="1">
      <alignment horizontal="center"/>
    </xf>
    <xf numFmtId="172" fontId="8" fillId="0" borderId="1" xfId="0" applyNumberFormat="1" applyFont="1" applyFill="1" applyBorder="1" applyAlignment="1">
      <alignment/>
    </xf>
    <xf numFmtId="172" fontId="5" fillId="0" borderId="1" xfId="0" applyNumberFormat="1" applyFont="1" applyBorder="1" applyAlignment="1">
      <alignment wrapText="1"/>
    </xf>
    <xf numFmtId="172" fontId="9" fillId="0" borderId="1" xfId="0" applyNumberFormat="1" applyFont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172" fontId="17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 readingOrder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20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right" vertical="center" wrapText="1"/>
    </xf>
    <xf numFmtId="172" fontId="6" fillId="0" borderId="1" xfId="0" applyNumberFormat="1" applyFont="1" applyBorder="1" applyAlignment="1">
      <alignment/>
    </xf>
    <xf numFmtId="0" fontId="20" fillId="0" borderId="1" xfId="0" applyNumberFormat="1" applyFont="1" applyBorder="1" applyAlignment="1">
      <alignment/>
    </xf>
    <xf numFmtId="49" fontId="18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172" fontId="24" fillId="0" borderId="1" xfId="0" applyNumberFormat="1" applyFont="1" applyBorder="1" applyAlignment="1">
      <alignment/>
    </xf>
    <xf numFmtId="0" fontId="18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172" fontId="1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172" fontId="9" fillId="0" borderId="1" xfId="0" applyNumberFormat="1" applyFont="1" applyBorder="1" applyAlignment="1">
      <alignment/>
    </xf>
    <xf numFmtId="172" fontId="9" fillId="0" borderId="2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5" fillId="0" borderId="2" xfId="0" applyNumberFormat="1" applyFont="1" applyBorder="1" applyAlignment="1">
      <alignment/>
    </xf>
    <xf numFmtId="0" fontId="20" fillId="0" borderId="1" xfId="0" applyFont="1" applyBorder="1" applyAlignment="1">
      <alignment horizontal="center" wrapText="1"/>
    </xf>
    <xf numFmtId="172" fontId="6" fillId="0" borderId="2" xfId="0" applyNumberFormat="1" applyFont="1" applyBorder="1" applyAlignment="1">
      <alignment/>
    </xf>
    <xf numFmtId="0" fontId="18" fillId="0" borderId="1" xfId="0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49" fontId="27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172" fontId="11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9" fontId="25" fillId="0" borderId="1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20" fillId="0" borderId="1" xfId="0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5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49" fontId="18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172" fontId="12" fillId="0" borderId="1" xfId="0" applyNumberFormat="1" applyFont="1" applyBorder="1" applyAlignment="1">
      <alignment/>
    </xf>
    <xf numFmtId="16" fontId="20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9" fontId="27" fillId="0" borderId="1" xfId="0" applyNumberFormat="1" applyFont="1" applyBorder="1" applyAlignment="1">
      <alignment horizontal="center"/>
    </xf>
    <xf numFmtId="172" fontId="13" fillId="0" borderId="1" xfId="0" applyNumberFormat="1" applyFont="1" applyBorder="1" applyAlignment="1">
      <alignment/>
    </xf>
    <xf numFmtId="16" fontId="18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2" fontId="10" fillId="0" borderId="0" xfId="0" applyNumberFormat="1" applyFont="1" applyBorder="1" applyAlignment="1">
      <alignment/>
    </xf>
    <xf numFmtId="0" fontId="19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72" fontId="2" fillId="0" borderId="1" xfId="0" applyNumberFormat="1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172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25" fillId="0" borderId="1" xfId="0" applyFont="1" applyBorder="1" applyAlignment="1">
      <alignment horizontal="center" wrapText="1"/>
    </xf>
    <xf numFmtId="49" fontId="30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rertar\&#1084;&#1086;&#1080;%20&#1076;&#1086;&#1082;&#1091;&#1084;&#1077;&#1085;&#1090;&#1099;\&#1055;&#1056;&#1054;&#1045;&#1050;&#1058;%20&#1041;&#1070;&#1044;&#1046;&#1045;&#1058;&#1040;-2010\&#1044;&#1083;&#1103;%20&#1087;&#1077;&#1088;&#1074;&#1086;&#1075;&#1086;%20&#1095;&#1090;&#1077;&#1085;&#1080;&#1103;-201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"/>
    </sheetNames>
    <sheetDataSet>
      <sheetData sheetId="0">
        <row r="61">
          <cell r="J61">
            <v>14080.1</v>
          </cell>
          <cell r="K61">
            <v>15719.8</v>
          </cell>
          <cell r="L61">
            <v>7916</v>
          </cell>
        </row>
      </sheetData>
      <sheetData sheetId="1">
        <row r="104">
          <cell r="M104" t="e">
            <v>#REF!</v>
          </cell>
          <cell r="N104" t="e">
            <v>#REF!</v>
          </cell>
          <cell r="O10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workbookViewId="0" topLeftCell="B1">
      <selection activeCell="C110" sqref="C110"/>
    </sheetView>
  </sheetViews>
  <sheetFormatPr defaultColWidth="9.00390625" defaultRowHeight="12.75"/>
  <cols>
    <col min="1" max="1" width="27.125" style="3" customWidth="1"/>
    <col min="2" max="2" width="74.75390625" style="3" customWidth="1"/>
    <col min="3" max="3" width="16.75390625" style="3" customWidth="1"/>
    <col min="4" max="4" width="13.00390625" style="3" customWidth="1"/>
    <col min="5" max="6" width="6.625" style="3" hidden="1" customWidth="1"/>
    <col min="7" max="7" width="7.875" style="3" hidden="1" customWidth="1"/>
    <col min="8" max="8" width="8.125" style="3" hidden="1" customWidth="1"/>
    <col min="9" max="9" width="8.25390625" style="62" hidden="1" customWidth="1"/>
    <col min="10" max="10" width="5.125" style="62" hidden="1" customWidth="1"/>
    <col min="11" max="12" width="9.125" style="62" hidden="1" customWidth="1"/>
    <col min="13" max="16384" width="9.125" style="62" customWidth="1"/>
  </cols>
  <sheetData>
    <row r="1" spans="1:8" s="54" customFormat="1" ht="9.75" customHeight="1">
      <c r="A1" s="80"/>
      <c r="B1" s="172" t="s">
        <v>41</v>
      </c>
      <c r="C1" s="172"/>
      <c r="D1" s="172"/>
      <c r="E1" s="172"/>
      <c r="F1" s="172"/>
      <c r="G1" s="172"/>
      <c r="H1" s="172"/>
    </row>
    <row r="2" spans="1:8" s="54" customFormat="1" ht="12.75" customHeight="1" hidden="1">
      <c r="A2" s="17"/>
      <c r="B2" s="16"/>
      <c r="C2" s="55"/>
      <c r="D2" s="17"/>
      <c r="E2" s="17"/>
      <c r="F2" s="17"/>
      <c r="G2" s="17"/>
      <c r="H2" s="17"/>
    </row>
    <row r="3" spans="1:16" s="54" customFormat="1" ht="25.5" customHeight="1">
      <c r="A3" s="169" t="s">
        <v>355</v>
      </c>
      <c r="B3" s="169"/>
      <c r="C3" s="169"/>
      <c r="D3" s="68"/>
      <c r="E3" s="68"/>
      <c r="F3" s="68"/>
      <c r="G3" s="68"/>
      <c r="H3" s="68"/>
      <c r="I3" s="70"/>
      <c r="J3" s="70"/>
      <c r="K3" s="70"/>
      <c r="L3" s="70"/>
      <c r="M3" s="70"/>
      <c r="N3" s="70"/>
      <c r="O3" s="70"/>
      <c r="P3" s="70"/>
    </row>
    <row r="4" spans="1:8" s="54" customFormat="1" ht="11.25">
      <c r="A4" s="17"/>
      <c r="B4" s="16"/>
      <c r="C4" s="55"/>
      <c r="D4" s="17"/>
      <c r="E4" s="17"/>
      <c r="F4" s="17"/>
      <c r="G4" s="17"/>
      <c r="H4" s="17"/>
    </row>
    <row r="5" spans="1:8" s="54" customFormat="1" ht="15.75">
      <c r="A5" s="69"/>
      <c r="B5" s="16"/>
      <c r="C5" s="55"/>
      <c r="D5" s="17"/>
      <c r="E5" s="17"/>
      <c r="F5" s="17"/>
      <c r="G5" s="17"/>
      <c r="H5" s="17"/>
    </row>
    <row r="6" spans="1:8" s="54" customFormat="1" ht="25.5" customHeight="1">
      <c r="A6" s="173" t="s">
        <v>146</v>
      </c>
      <c r="B6" s="173"/>
      <c r="C6" s="173"/>
      <c r="D6" s="173"/>
      <c r="E6" s="173"/>
      <c r="F6" s="173"/>
      <c r="G6" s="173"/>
      <c r="H6" s="173"/>
    </row>
    <row r="7" spans="1:8" s="54" customFormat="1" ht="11.25">
      <c r="A7" s="17"/>
      <c r="B7" s="16"/>
      <c r="C7" s="55"/>
      <c r="D7" s="17"/>
      <c r="E7" s="17"/>
      <c r="F7" s="17"/>
      <c r="G7" s="17"/>
      <c r="H7" s="17"/>
    </row>
    <row r="8" spans="1:12" s="54" customFormat="1" ht="54.75" customHeight="1">
      <c r="A8" s="29" t="s">
        <v>38</v>
      </c>
      <c r="B8" s="28" t="s">
        <v>39</v>
      </c>
      <c r="C8" s="28" t="s">
        <v>56</v>
      </c>
      <c r="D8" s="38"/>
      <c r="E8" s="56" t="s">
        <v>0</v>
      </c>
      <c r="F8" s="57" t="s">
        <v>1</v>
      </c>
      <c r="G8" s="58" t="s">
        <v>2</v>
      </c>
      <c r="H8" s="57" t="s">
        <v>3</v>
      </c>
      <c r="I8" s="59" t="s">
        <v>26</v>
      </c>
      <c r="J8" s="59" t="s">
        <v>27</v>
      </c>
      <c r="K8" s="59" t="s">
        <v>28</v>
      </c>
      <c r="L8" s="59" t="s">
        <v>29</v>
      </c>
    </row>
    <row r="9" spans="1:12" s="54" customFormat="1" ht="11.25">
      <c r="A9" s="46" t="s">
        <v>8</v>
      </c>
      <c r="B9" s="2" t="s">
        <v>89</v>
      </c>
      <c r="C9" s="18">
        <f>C10+C22+C25+C28+C32</f>
        <v>72030.3</v>
      </c>
      <c r="D9" s="39"/>
      <c r="E9" s="34"/>
      <c r="F9" s="12"/>
      <c r="G9" s="12"/>
      <c r="H9" s="12"/>
      <c r="I9" s="22">
        <f>SUM(I10,I22,I25,I32,I28)</f>
        <v>6068.3</v>
      </c>
      <c r="J9" s="22">
        <f>SUM(J10,J22,J25,J32,J28)</f>
        <v>12205.1</v>
      </c>
      <c r="K9" s="22">
        <f>SUM(K10,K22,K25,K32,K28)</f>
        <v>13844.8</v>
      </c>
      <c r="L9" s="22">
        <f>SUM(L10,L22,L25,L32,L28)</f>
        <v>6040</v>
      </c>
    </row>
    <row r="10" spans="1:12" s="54" customFormat="1" ht="11.25">
      <c r="A10" s="46" t="s">
        <v>9</v>
      </c>
      <c r="B10" s="1" t="s">
        <v>4</v>
      </c>
      <c r="C10" s="18">
        <f>C11+C19</f>
        <v>32255.8</v>
      </c>
      <c r="D10" s="40"/>
      <c r="E10" s="35">
        <f>SUM(E11,E19)</f>
        <v>1400</v>
      </c>
      <c r="F10" s="13">
        <f>SUM(F11,F19)</f>
        <v>5990</v>
      </c>
      <c r="G10" s="13">
        <f>SUM(G11,G19)</f>
        <v>4730</v>
      </c>
      <c r="H10" s="13">
        <f>SUM(H11,H19)</f>
        <v>4030</v>
      </c>
      <c r="I10" s="21">
        <f>I11+I19</f>
        <v>4335</v>
      </c>
      <c r="J10" s="21">
        <f>J11+J19</f>
        <v>9065</v>
      </c>
      <c r="K10" s="21">
        <f>K11+K19</f>
        <v>4430</v>
      </c>
      <c r="L10" s="21">
        <f>L11+L19</f>
        <v>3520</v>
      </c>
    </row>
    <row r="11" spans="1:12" s="54" customFormat="1" ht="11.25">
      <c r="A11" s="46" t="s">
        <v>79</v>
      </c>
      <c r="B11" s="50" t="s">
        <v>90</v>
      </c>
      <c r="C11" s="49">
        <f>C12+C15+C18</f>
        <v>17955.8</v>
      </c>
      <c r="D11" s="40"/>
      <c r="E11" s="35">
        <f aca="true" t="shared" si="0" ref="E11:L11">E12+E15</f>
        <v>600</v>
      </c>
      <c r="F11" s="13">
        <f t="shared" si="0"/>
        <v>4090</v>
      </c>
      <c r="G11" s="13">
        <f t="shared" si="0"/>
        <v>3230</v>
      </c>
      <c r="H11" s="13">
        <f t="shared" si="0"/>
        <v>2430</v>
      </c>
      <c r="I11" s="21">
        <f t="shared" si="0"/>
        <v>1435</v>
      </c>
      <c r="J11" s="21">
        <f t="shared" si="0"/>
        <v>3065</v>
      </c>
      <c r="K11" s="21">
        <f t="shared" si="0"/>
        <v>1600</v>
      </c>
      <c r="L11" s="21">
        <f t="shared" si="0"/>
        <v>1300</v>
      </c>
    </row>
    <row r="12" spans="1:12" s="54" customFormat="1" ht="22.5">
      <c r="A12" s="47" t="s">
        <v>128</v>
      </c>
      <c r="B12" s="51" t="s">
        <v>91</v>
      </c>
      <c r="C12" s="73">
        <f>C13+C14</f>
        <v>15500</v>
      </c>
      <c r="D12" s="40"/>
      <c r="E12" s="35">
        <v>400</v>
      </c>
      <c r="F12" s="13">
        <v>2850</v>
      </c>
      <c r="G12" s="15">
        <v>2600</v>
      </c>
      <c r="H12" s="13">
        <v>2100</v>
      </c>
      <c r="I12" s="21">
        <f>1100+100</f>
        <v>1200</v>
      </c>
      <c r="J12" s="21">
        <f>1240+300+60+400+500</f>
        <v>2500</v>
      </c>
      <c r="K12" s="21">
        <f>1218.5+281.5-200</f>
        <v>1300</v>
      </c>
      <c r="L12" s="21">
        <f>1500+100-200-500</f>
        <v>900</v>
      </c>
    </row>
    <row r="13" spans="1:12" s="54" customFormat="1" ht="22.5">
      <c r="A13" s="71" t="s">
        <v>129</v>
      </c>
      <c r="B13" s="51" t="s">
        <v>91</v>
      </c>
      <c r="C13" s="74">
        <v>15500</v>
      </c>
      <c r="D13" s="40"/>
      <c r="E13" s="35"/>
      <c r="F13" s="13"/>
      <c r="G13" s="15"/>
      <c r="H13" s="13"/>
      <c r="I13" s="21"/>
      <c r="J13" s="21"/>
      <c r="K13" s="21"/>
      <c r="L13" s="21"/>
    </row>
    <row r="14" spans="1:12" s="54" customFormat="1" ht="22.5">
      <c r="A14" s="71" t="s">
        <v>130</v>
      </c>
      <c r="B14" s="51" t="s">
        <v>134</v>
      </c>
      <c r="C14" s="74">
        <v>0</v>
      </c>
      <c r="D14" s="40"/>
      <c r="E14" s="35"/>
      <c r="F14" s="13"/>
      <c r="G14" s="15"/>
      <c r="H14" s="13"/>
      <c r="I14" s="21"/>
      <c r="J14" s="21"/>
      <c r="K14" s="21"/>
      <c r="L14" s="21"/>
    </row>
    <row r="15" spans="1:12" s="54" customFormat="1" ht="22.5">
      <c r="A15" s="47" t="s">
        <v>131</v>
      </c>
      <c r="B15" s="51" t="s">
        <v>92</v>
      </c>
      <c r="C15" s="73">
        <f>C16+C17</f>
        <v>2355.8</v>
      </c>
      <c r="D15" s="40"/>
      <c r="E15" s="35">
        <v>200</v>
      </c>
      <c r="F15" s="13">
        <v>1240</v>
      </c>
      <c r="G15" s="15">
        <v>630</v>
      </c>
      <c r="H15" s="13">
        <v>330</v>
      </c>
      <c r="I15" s="21">
        <f>120+20+110-15</f>
        <v>235</v>
      </c>
      <c r="J15" s="21">
        <f>430+70+15+50</f>
        <v>565</v>
      </c>
      <c r="K15" s="21">
        <f>327.5+22.5-50</f>
        <v>300</v>
      </c>
      <c r="L15" s="21">
        <v>400</v>
      </c>
    </row>
    <row r="16" spans="1:12" s="54" customFormat="1" ht="22.5">
      <c r="A16" s="71" t="s">
        <v>132</v>
      </c>
      <c r="B16" s="51" t="s">
        <v>92</v>
      </c>
      <c r="C16" s="74">
        <v>2355.8</v>
      </c>
      <c r="D16" s="40"/>
      <c r="E16" s="35"/>
      <c r="F16" s="13"/>
      <c r="G16" s="15"/>
      <c r="H16" s="13"/>
      <c r="I16" s="21"/>
      <c r="J16" s="21"/>
      <c r="K16" s="21"/>
      <c r="L16" s="21"/>
    </row>
    <row r="17" spans="1:12" s="54" customFormat="1" ht="33.75">
      <c r="A17" s="71" t="s">
        <v>133</v>
      </c>
      <c r="B17" s="51" t="s">
        <v>135</v>
      </c>
      <c r="C17" s="74">
        <v>0</v>
      </c>
      <c r="D17" s="40"/>
      <c r="E17" s="35"/>
      <c r="F17" s="13"/>
      <c r="G17" s="15"/>
      <c r="H17" s="13"/>
      <c r="I17" s="21"/>
      <c r="J17" s="21"/>
      <c r="K17" s="21"/>
      <c r="L17" s="21"/>
    </row>
    <row r="18" spans="1:12" s="54" customFormat="1" ht="15" customHeight="1">
      <c r="A18" s="75" t="s">
        <v>136</v>
      </c>
      <c r="B18" s="51" t="s">
        <v>137</v>
      </c>
      <c r="C18" s="76">
        <v>100</v>
      </c>
      <c r="D18" s="40"/>
      <c r="E18" s="35"/>
      <c r="F18" s="13"/>
      <c r="G18" s="15"/>
      <c r="H18" s="13"/>
      <c r="I18" s="21"/>
      <c r="J18" s="21"/>
      <c r="K18" s="21"/>
      <c r="L18" s="21"/>
    </row>
    <row r="19" spans="1:12" s="54" customFormat="1" ht="14.25" customHeight="1">
      <c r="A19" s="46" t="s">
        <v>138</v>
      </c>
      <c r="B19" s="2" t="s">
        <v>93</v>
      </c>
      <c r="C19" s="18">
        <f>C20+C21</f>
        <v>14300</v>
      </c>
      <c r="D19" s="40"/>
      <c r="E19" s="35">
        <v>800</v>
      </c>
      <c r="F19" s="13">
        <v>1900</v>
      </c>
      <c r="G19" s="13">
        <v>1500</v>
      </c>
      <c r="H19" s="13">
        <v>1600</v>
      </c>
      <c r="I19" s="21">
        <v>2900</v>
      </c>
      <c r="J19" s="21">
        <f>3490+340+550+620+1000</f>
        <v>6000</v>
      </c>
      <c r="K19" s="21">
        <f>3038+340+2-550</f>
        <v>2830</v>
      </c>
      <c r="L19" s="21">
        <f>3500+340-620-1000</f>
        <v>2220</v>
      </c>
    </row>
    <row r="20" spans="1:12" s="54" customFormat="1" ht="15.75" customHeight="1">
      <c r="A20" s="71" t="s">
        <v>139</v>
      </c>
      <c r="B20" s="1" t="s">
        <v>93</v>
      </c>
      <c r="C20" s="72">
        <v>14300</v>
      </c>
      <c r="D20" s="40"/>
      <c r="E20" s="35"/>
      <c r="F20" s="13"/>
      <c r="G20" s="13"/>
      <c r="H20" s="13"/>
      <c r="I20" s="21"/>
      <c r="J20" s="21"/>
      <c r="K20" s="21"/>
      <c r="L20" s="21"/>
    </row>
    <row r="21" spans="1:12" s="54" customFormat="1" ht="22.5" customHeight="1">
      <c r="A21" s="71" t="s">
        <v>140</v>
      </c>
      <c r="B21" s="1" t="s">
        <v>141</v>
      </c>
      <c r="C21" s="72">
        <v>0</v>
      </c>
      <c r="D21" s="40"/>
      <c r="E21" s="35"/>
      <c r="F21" s="13"/>
      <c r="G21" s="13"/>
      <c r="H21" s="13"/>
      <c r="I21" s="21"/>
      <c r="J21" s="21"/>
      <c r="K21" s="21"/>
      <c r="L21" s="21"/>
    </row>
    <row r="22" spans="1:12" s="54" customFormat="1" ht="14.25" customHeight="1">
      <c r="A22" s="46" t="s">
        <v>10</v>
      </c>
      <c r="B22" s="1" t="s">
        <v>5</v>
      </c>
      <c r="C22" s="18">
        <f>C23</f>
        <v>37000</v>
      </c>
      <c r="D22" s="40"/>
      <c r="E22" s="35">
        <f aca="true" t="shared" si="1" ref="E22:H23">E23</f>
        <v>200</v>
      </c>
      <c r="F22" s="13">
        <f t="shared" si="1"/>
        <v>120</v>
      </c>
      <c r="G22" s="13">
        <f t="shared" si="1"/>
        <v>3350</v>
      </c>
      <c r="H22" s="13">
        <f t="shared" si="1"/>
        <v>1200</v>
      </c>
      <c r="I22" s="21">
        <f>I23</f>
        <v>1030</v>
      </c>
      <c r="J22" s="21">
        <f aca="true" t="shared" si="2" ref="J22:L23">J23</f>
        <v>2028.5</v>
      </c>
      <c r="K22" s="21">
        <f t="shared" si="2"/>
        <v>8841.5</v>
      </c>
      <c r="L22" s="21">
        <f t="shared" si="2"/>
        <v>2200</v>
      </c>
    </row>
    <row r="23" spans="1:12" s="54" customFormat="1" ht="13.5" customHeight="1">
      <c r="A23" s="46" t="s">
        <v>80</v>
      </c>
      <c r="B23" s="2" t="s">
        <v>6</v>
      </c>
      <c r="C23" s="18">
        <f>C24</f>
        <v>37000</v>
      </c>
      <c r="D23" s="40"/>
      <c r="E23" s="35">
        <f t="shared" si="1"/>
        <v>200</v>
      </c>
      <c r="F23" s="13">
        <f t="shared" si="1"/>
        <v>120</v>
      </c>
      <c r="G23" s="13">
        <f t="shared" si="1"/>
        <v>3350</v>
      </c>
      <c r="H23" s="13">
        <f t="shared" si="1"/>
        <v>1200</v>
      </c>
      <c r="I23" s="21">
        <f>I24</f>
        <v>1030</v>
      </c>
      <c r="J23" s="21">
        <f t="shared" si="2"/>
        <v>2028.5</v>
      </c>
      <c r="K23" s="21">
        <f t="shared" si="2"/>
        <v>8841.5</v>
      </c>
      <c r="L23" s="21">
        <f t="shared" si="2"/>
        <v>2200</v>
      </c>
    </row>
    <row r="24" spans="1:12" s="54" customFormat="1" ht="33.75">
      <c r="A24" s="47" t="s">
        <v>15</v>
      </c>
      <c r="B24" s="1" t="s">
        <v>23</v>
      </c>
      <c r="C24" s="19">
        <v>37000</v>
      </c>
      <c r="D24" s="40"/>
      <c r="E24" s="35">
        <v>200</v>
      </c>
      <c r="F24" s="13">
        <v>120</v>
      </c>
      <c r="G24" s="15">
        <v>3350</v>
      </c>
      <c r="H24" s="13">
        <v>1200</v>
      </c>
      <c r="I24" s="21">
        <f>1015+15</f>
        <v>1030</v>
      </c>
      <c r="J24" s="21">
        <f>520+50+85+873.5+500</f>
        <v>2028.5</v>
      </c>
      <c r="K24" s="21">
        <f>9715-873.5</f>
        <v>8841.5</v>
      </c>
      <c r="L24" s="21">
        <f>2700-500</f>
        <v>2200</v>
      </c>
    </row>
    <row r="25" spans="1:12" s="54" customFormat="1" ht="22.5">
      <c r="A25" s="46" t="s">
        <v>11</v>
      </c>
      <c r="B25" s="1" t="s">
        <v>16</v>
      </c>
      <c r="C25" s="18">
        <f>C26</f>
        <v>10</v>
      </c>
      <c r="D25" s="40"/>
      <c r="E25" s="35" t="e">
        <f>E26+#REF!</f>
        <v>#REF!</v>
      </c>
      <c r="F25" s="13" t="e">
        <f>F26+#REF!</f>
        <v>#REF!</v>
      </c>
      <c r="G25" s="13" t="e">
        <f>G26+#REF!</f>
        <v>#REF!</v>
      </c>
      <c r="H25" s="13" t="e">
        <f>H26+#REF!</f>
        <v>#REF!</v>
      </c>
      <c r="I25" s="21">
        <f aca="true" t="shared" si="3" ref="I25:L26">I26</f>
        <v>13.3</v>
      </c>
      <c r="J25" s="21">
        <f t="shared" si="3"/>
        <v>26.6</v>
      </c>
      <c r="K25" s="21">
        <f t="shared" si="3"/>
        <v>13.3</v>
      </c>
      <c r="L25" s="21">
        <f t="shared" si="3"/>
        <v>0</v>
      </c>
    </row>
    <row r="26" spans="1:12" s="54" customFormat="1" ht="11.25">
      <c r="A26" s="46" t="s">
        <v>142</v>
      </c>
      <c r="B26" s="2" t="s">
        <v>17</v>
      </c>
      <c r="C26" s="18">
        <f>C27</f>
        <v>10</v>
      </c>
      <c r="D26" s="40"/>
      <c r="E26" s="35">
        <f>E27</f>
        <v>30</v>
      </c>
      <c r="F26" s="13" t="e">
        <f>SUM(#REF!)</f>
        <v>#REF!</v>
      </c>
      <c r="G26" s="15" t="e">
        <f>SUM(#REF!)</f>
        <v>#REF!</v>
      </c>
      <c r="H26" s="13" t="e">
        <f>SUM(#REF!)</f>
        <v>#REF!</v>
      </c>
      <c r="I26" s="21">
        <f t="shared" si="3"/>
        <v>13.3</v>
      </c>
      <c r="J26" s="21">
        <f t="shared" si="3"/>
        <v>26.6</v>
      </c>
      <c r="K26" s="21">
        <f t="shared" si="3"/>
        <v>13.3</v>
      </c>
      <c r="L26" s="21">
        <f t="shared" si="3"/>
        <v>0</v>
      </c>
    </row>
    <row r="27" spans="1:12" s="54" customFormat="1" ht="11.25">
      <c r="A27" s="47" t="s">
        <v>19</v>
      </c>
      <c r="B27" s="1" t="s">
        <v>18</v>
      </c>
      <c r="C27" s="19">
        <v>10</v>
      </c>
      <c r="D27" s="40"/>
      <c r="E27" s="35">
        <v>30</v>
      </c>
      <c r="F27" s="13">
        <v>0</v>
      </c>
      <c r="G27" s="15">
        <v>0</v>
      </c>
      <c r="H27" s="13">
        <v>0</v>
      </c>
      <c r="I27" s="21">
        <v>13.3</v>
      </c>
      <c r="J27" s="21">
        <f>13.3+13.3</f>
        <v>26.6</v>
      </c>
      <c r="K27" s="21">
        <v>13.3</v>
      </c>
      <c r="L27" s="21">
        <f>13.3-13.3</f>
        <v>0</v>
      </c>
    </row>
    <row r="28" spans="1:12" s="54" customFormat="1" ht="11.25">
      <c r="A28" s="46" t="s">
        <v>35</v>
      </c>
      <c r="B28" s="1" t="s">
        <v>32</v>
      </c>
      <c r="C28" s="18">
        <f>C29</f>
        <v>1000</v>
      </c>
      <c r="D28" s="40"/>
      <c r="E28" s="35"/>
      <c r="F28" s="13"/>
      <c r="G28" s="15"/>
      <c r="H28" s="13"/>
      <c r="I28" s="21">
        <f>I29</f>
        <v>0</v>
      </c>
      <c r="J28" s="21">
        <f aca="true" t="shared" si="4" ref="J28:L30">J29</f>
        <v>0</v>
      </c>
      <c r="K28" s="21">
        <f t="shared" si="4"/>
        <v>0</v>
      </c>
      <c r="L28" s="21">
        <f t="shared" si="4"/>
        <v>0</v>
      </c>
    </row>
    <row r="29" spans="1:12" s="54" customFormat="1" ht="11.25">
      <c r="A29" s="47" t="s">
        <v>36</v>
      </c>
      <c r="B29" s="1" t="s">
        <v>33</v>
      </c>
      <c r="C29" s="19">
        <f>C30</f>
        <v>1000</v>
      </c>
      <c r="D29" s="40"/>
      <c r="E29" s="35"/>
      <c r="F29" s="13"/>
      <c r="G29" s="15"/>
      <c r="H29" s="13"/>
      <c r="I29" s="21">
        <f>I30</f>
        <v>0</v>
      </c>
      <c r="J29" s="21">
        <f t="shared" si="4"/>
        <v>0</v>
      </c>
      <c r="K29" s="21">
        <f t="shared" si="4"/>
        <v>0</v>
      </c>
      <c r="L29" s="21">
        <f t="shared" si="4"/>
        <v>0</v>
      </c>
    </row>
    <row r="30" spans="1:12" s="54" customFormat="1" ht="45">
      <c r="A30" s="47" t="s">
        <v>37</v>
      </c>
      <c r="B30" s="1" t="s">
        <v>34</v>
      </c>
      <c r="C30" s="19">
        <f>C31</f>
        <v>1000</v>
      </c>
      <c r="D30" s="40"/>
      <c r="E30" s="35"/>
      <c r="F30" s="13"/>
      <c r="G30" s="15"/>
      <c r="H30" s="13"/>
      <c r="I30" s="21">
        <f>I31</f>
        <v>0</v>
      </c>
      <c r="J30" s="21">
        <f t="shared" si="4"/>
        <v>0</v>
      </c>
      <c r="K30" s="21">
        <f t="shared" si="4"/>
        <v>0</v>
      </c>
      <c r="L30" s="21">
        <f t="shared" si="4"/>
        <v>0</v>
      </c>
    </row>
    <row r="31" spans="1:12" s="54" customFormat="1" ht="45">
      <c r="A31" s="48" t="s">
        <v>118</v>
      </c>
      <c r="B31" s="1" t="s">
        <v>119</v>
      </c>
      <c r="C31" s="19">
        <v>1000</v>
      </c>
      <c r="D31" s="40"/>
      <c r="E31" s="35"/>
      <c r="F31" s="13"/>
      <c r="G31" s="15"/>
      <c r="H31" s="13"/>
      <c r="I31" s="21">
        <v>0</v>
      </c>
      <c r="J31" s="21">
        <v>0</v>
      </c>
      <c r="K31" s="21">
        <v>0</v>
      </c>
      <c r="L31" s="21">
        <v>0</v>
      </c>
    </row>
    <row r="32" spans="1:12" s="54" customFormat="1" ht="11.25">
      <c r="A32" s="46" t="s">
        <v>13</v>
      </c>
      <c r="B32" s="1" t="s">
        <v>12</v>
      </c>
      <c r="C32" s="18">
        <f>C33+C44+C40+C34+C38+C36</f>
        <v>1764.5</v>
      </c>
      <c r="D32" s="40"/>
      <c r="E32" s="35">
        <f>SUM(E33,E44)</f>
        <v>245</v>
      </c>
      <c r="F32" s="13">
        <f>SUM(F33,F44)</f>
        <v>335</v>
      </c>
      <c r="G32" s="13">
        <f>SUM(G33,G44)</f>
        <v>420</v>
      </c>
      <c r="H32" s="13">
        <f>SUM(H33,H44)</f>
        <v>332.5</v>
      </c>
      <c r="I32" s="21">
        <f>I33+I44</f>
        <v>690</v>
      </c>
      <c r="J32" s="21">
        <f>J33+J44</f>
        <v>1085</v>
      </c>
      <c r="K32" s="21">
        <f>K33+K44</f>
        <v>560</v>
      </c>
      <c r="L32" s="21">
        <f>L33+L44</f>
        <v>320</v>
      </c>
    </row>
    <row r="33" spans="1:12" s="54" customFormat="1" ht="33.75">
      <c r="A33" s="46" t="s">
        <v>59</v>
      </c>
      <c r="B33" s="60" t="s">
        <v>102</v>
      </c>
      <c r="C33" s="18">
        <v>430</v>
      </c>
      <c r="D33" s="40"/>
      <c r="E33" s="35">
        <v>145</v>
      </c>
      <c r="F33" s="13">
        <v>230</v>
      </c>
      <c r="G33" s="15">
        <v>315</v>
      </c>
      <c r="H33" s="13">
        <v>227.5</v>
      </c>
      <c r="I33" s="21">
        <v>275</v>
      </c>
      <c r="J33" s="21">
        <f>315+100</f>
        <v>415</v>
      </c>
      <c r="K33" s="21">
        <v>310</v>
      </c>
      <c r="L33" s="21">
        <f>300-100</f>
        <v>200</v>
      </c>
    </row>
    <row r="34" spans="1:12" s="54" customFormat="1" ht="22.5">
      <c r="A34" s="46" t="s">
        <v>105</v>
      </c>
      <c r="B34" s="60" t="s">
        <v>106</v>
      </c>
      <c r="C34" s="18">
        <f>C35</f>
        <v>0</v>
      </c>
      <c r="D34" s="40"/>
      <c r="E34" s="35"/>
      <c r="F34" s="13"/>
      <c r="G34" s="15"/>
      <c r="H34" s="13"/>
      <c r="I34" s="21"/>
      <c r="J34" s="21"/>
      <c r="K34" s="21"/>
      <c r="L34" s="21"/>
    </row>
    <row r="35" spans="1:12" s="54" customFormat="1" ht="33.75">
      <c r="A35" s="47" t="s">
        <v>120</v>
      </c>
      <c r="B35" s="60" t="s">
        <v>109</v>
      </c>
      <c r="C35" s="19">
        <v>0</v>
      </c>
      <c r="D35" s="40"/>
      <c r="E35" s="35"/>
      <c r="F35" s="13"/>
      <c r="G35" s="15"/>
      <c r="H35" s="13"/>
      <c r="I35" s="21"/>
      <c r="J35" s="21"/>
      <c r="K35" s="21"/>
      <c r="L35" s="21"/>
    </row>
    <row r="36" spans="1:12" s="54" customFormat="1" ht="22.5">
      <c r="A36" s="46" t="s">
        <v>111</v>
      </c>
      <c r="B36" s="60" t="s">
        <v>112</v>
      </c>
      <c r="C36" s="18">
        <f>C37</f>
        <v>0</v>
      </c>
      <c r="D36" s="40"/>
      <c r="E36" s="35"/>
      <c r="F36" s="13"/>
      <c r="G36" s="15"/>
      <c r="H36" s="13"/>
      <c r="I36" s="21"/>
      <c r="J36" s="21"/>
      <c r="K36" s="21"/>
      <c r="L36" s="21"/>
    </row>
    <row r="37" spans="1:12" s="54" customFormat="1" ht="33.75">
      <c r="A37" s="47" t="s">
        <v>121</v>
      </c>
      <c r="B37" s="60" t="s">
        <v>113</v>
      </c>
      <c r="C37" s="19">
        <v>0</v>
      </c>
      <c r="D37" s="40"/>
      <c r="E37" s="35"/>
      <c r="F37" s="13"/>
      <c r="G37" s="15"/>
      <c r="H37" s="13"/>
      <c r="I37" s="21"/>
      <c r="J37" s="21"/>
      <c r="K37" s="21"/>
      <c r="L37" s="21"/>
    </row>
    <row r="38" spans="1:12" s="54" customFormat="1" ht="11.25">
      <c r="A38" s="46" t="s">
        <v>103</v>
      </c>
      <c r="B38" s="1" t="s">
        <v>43</v>
      </c>
      <c r="C38" s="18">
        <f>C39</f>
        <v>0</v>
      </c>
      <c r="D38" s="40"/>
      <c r="E38" s="35"/>
      <c r="F38" s="13"/>
      <c r="G38" s="15"/>
      <c r="H38" s="13"/>
      <c r="I38" s="21"/>
      <c r="J38" s="21"/>
      <c r="K38" s="21"/>
      <c r="L38" s="21"/>
    </row>
    <row r="39" spans="1:12" s="54" customFormat="1" ht="45">
      <c r="A39" s="47" t="s">
        <v>42</v>
      </c>
      <c r="B39" s="1" t="s">
        <v>44</v>
      </c>
      <c r="C39" s="19">
        <v>0</v>
      </c>
      <c r="D39" s="40"/>
      <c r="E39" s="35"/>
      <c r="F39" s="13"/>
      <c r="G39" s="15"/>
      <c r="H39" s="13"/>
      <c r="I39" s="21"/>
      <c r="J39" s="21"/>
      <c r="K39" s="21"/>
      <c r="L39" s="21"/>
    </row>
    <row r="40" spans="1:12" s="54" customFormat="1" ht="22.5">
      <c r="A40" s="46" t="s">
        <v>107</v>
      </c>
      <c r="B40" s="60" t="s">
        <v>108</v>
      </c>
      <c r="C40" s="18">
        <f>C41</f>
        <v>0</v>
      </c>
      <c r="D40" s="40"/>
      <c r="E40" s="35"/>
      <c r="F40" s="13"/>
      <c r="G40" s="15"/>
      <c r="H40" s="13"/>
      <c r="I40" s="21"/>
      <c r="J40" s="21"/>
      <c r="K40" s="21"/>
      <c r="L40" s="21"/>
    </row>
    <row r="41" spans="1:12" s="54" customFormat="1" ht="36.75" customHeight="1">
      <c r="A41" s="47" t="s">
        <v>122</v>
      </c>
      <c r="B41" s="60" t="s">
        <v>110</v>
      </c>
      <c r="C41" s="19">
        <v>0</v>
      </c>
      <c r="D41" s="40"/>
      <c r="E41" s="35"/>
      <c r="F41" s="13"/>
      <c r="G41" s="15"/>
      <c r="H41" s="13"/>
      <c r="I41" s="21"/>
      <c r="J41" s="21"/>
      <c r="K41" s="21"/>
      <c r="L41" s="21"/>
    </row>
    <row r="42" spans="1:12" s="54" customFormat="1" ht="22.5">
      <c r="A42" s="46" t="s">
        <v>104</v>
      </c>
      <c r="B42" s="1" t="s">
        <v>81</v>
      </c>
      <c r="C42" s="18">
        <f>C43</f>
        <v>0</v>
      </c>
      <c r="D42" s="40"/>
      <c r="E42" s="35"/>
      <c r="F42" s="13"/>
      <c r="G42" s="15"/>
      <c r="H42" s="13"/>
      <c r="I42" s="21"/>
      <c r="J42" s="21"/>
      <c r="K42" s="21"/>
      <c r="L42" s="21"/>
    </row>
    <row r="43" spans="1:12" s="54" customFormat="1" ht="45">
      <c r="A43" s="47" t="s">
        <v>123</v>
      </c>
      <c r="B43" s="1" t="s">
        <v>82</v>
      </c>
      <c r="C43" s="19">
        <v>0</v>
      </c>
      <c r="D43" s="40"/>
      <c r="E43" s="35"/>
      <c r="F43" s="13"/>
      <c r="G43" s="15"/>
      <c r="H43" s="13"/>
      <c r="I43" s="21"/>
      <c r="J43" s="21"/>
      <c r="K43" s="21"/>
      <c r="L43" s="21"/>
    </row>
    <row r="44" spans="1:12" s="54" customFormat="1" ht="22.5">
      <c r="A44" s="46" t="s">
        <v>20</v>
      </c>
      <c r="B44" s="2" t="s">
        <v>14</v>
      </c>
      <c r="C44" s="18">
        <f>C45</f>
        <v>1334.5</v>
      </c>
      <c r="D44" s="40"/>
      <c r="E44" s="35">
        <f>SUM(E45)</f>
        <v>100</v>
      </c>
      <c r="F44" s="13">
        <f>SUM(F45)</f>
        <v>105</v>
      </c>
      <c r="G44" s="13">
        <f>SUM(G45)</f>
        <v>105</v>
      </c>
      <c r="H44" s="13">
        <f>SUM(H45)</f>
        <v>105</v>
      </c>
      <c r="I44" s="21">
        <f>I45</f>
        <v>415</v>
      </c>
      <c r="J44" s="21">
        <f>J45</f>
        <v>670</v>
      </c>
      <c r="K44" s="21">
        <f>K45</f>
        <v>250</v>
      </c>
      <c r="L44" s="21">
        <f>L45</f>
        <v>120</v>
      </c>
    </row>
    <row r="45" spans="1:12" s="54" customFormat="1" ht="33.75">
      <c r="A45" s="47" t="s">
        <v>25</v>
      </c>
      <c r="B45" s="60" t="s">
        <v>24</v>
      </c>
      <c r="C45" s="19">
        <f>C46+C47</f>
        <v>1334.5</v>
      </c>
      <c r="D45" s="40"/>
      <c r="E45" s="35">
        <f>SUM(E46:E47)</f>
        <v>100</v>
      </c>
      <c r="F45" s="13">
        <f>SUM(F46:F47)</f>
        <v>105</v>
      </c>
      <c r="G45" s="15">
        <f>SUM(G46:G47)</f>
        <v>105</v>
      </c>
      <c r="H45" s="13">
        <f>SUM(H46:H47)</f>
        <v>105</v>
      </c>
      <c r="I45" s="21">
        <f>I46+I47</f>
        <v>415</v>
      </c>
      <c r="J45" s="21">
        <f>J46+J47</f>
        <v>670</v>
      </c>
      <c r="K45" s="21">
        <f>K46+K47</f>
        <v>250</v>
      </c>
      <c r="L45" s="21">
        <f>L46+L47</f>
        <v>120</v>
      </c>
    </row>
    <row r="46" spans="1:12" s="54" customFormat="1" ht="21.75" customHeight="1">
      <c r="A46" s="47" t="s">
        <v>58</v>
      </c>
      <c r="B46" s="1" t="s">
        <v>124</v>
      </c>
      <c r="C46" s="19">
        <v>1300</v>
      </c>
      <c r="D46" s="40"/>
      <c r="E46" s="35">
        <v>100</v>
      </c>
      <c r="F46" s="13">
        <v>100</v>
      </c>
      <c r="G46" s="13">
        <v>100</v>
      </c>
      <c r="H46" s="13">
        <v>100</v>
      </c>
      <c r="I46" s="21">
        <v>415</v>
      </c>
      <c r="J46" s="21">
        <f>500+40+130</f>
        <v>670</v>
      </c>
      <c r="K46" s="21">
        <f>220+30</f>
        <v>250</v>
      </c>
      <c r="L46" s="21">
        <f>220+30-130</f>
        <v>120</v>
      </c>
    </row>
    <row r="47" spans="1:12" s="54" customFormat="1" ht="33.75">
      <c r="A47" s="47" t="s">
        <v>125</v>
      </c>
      <c r="B47" s="1" t="s">
        <v>126</v>
      </c>
      <c r="C47" s="19">
        <v>34.5</v>
      </c>
      <c r="D47" s="40"/>
      <c r="E47" s="35">
        <v>0</v>
      </c>
      <c r="F47" s="13">
        <v>5</v>
      </c>
      <c r="G47" s="13">
        <v>5</v>
      </c>
      <c r="H47" s="13">
        <v>5</v>
      </c>
      <c r="I47" s="21">
        <v>0</v>
      </c>
      <c r="J47" s="21">
        <v>0</v>
      </c>
      <c r="K47" s="21">
        <v>0</v>
      </c>
      <c r="L47" s="21">
        <f>5-5</f>
        <v>0</v>
      </c>
    </row>
    <row r="48" spans="1:12" s="54" customFormat="1" ht="11.25">
      <c r="A48" s="46" t="s">
        <v>45</v>
      </c>
      <c r="B48" s="1" t="s">
        <v>46</v>
      </c>
      <c r="C48" s="18">
        <f>C51</f>
        <v>0</v>
      </c>
      <c r="D48" s="40"/>
      <c r="E48" s="35"/>
      <c r="F48" s="13"/>
      <c r="G48" s="13"/>
      <c r="H48" s="13"/>
      <c r="I48" s="21"/>
      <c r="J48" s="21"/>
      <c r="K48" s="21"/>
      <c r="L48" s="21"/>
    </row>
    <row r="49" spans="1:12" s="54" customFormat="1" ht="11.25">
      <c r="A49" s="46" t="s">
        <v>85</v>
      </c>
      <c r="B49" s="2" t="s">
        <v>86</v>
      </c>
      <c r="C49" s="18">
        <f>C50</f>
        <v>0</v>
      </c>
      <c r="D49" s="40"/>
      <c r="E49" s="35"/>
      <c r="F49" s="13"/>
      <c r="G49" s="13"/>
      <c r="H49" s="13"/>
      <c r="I49" s="21"/>
      <c r="J49" s="21"/>
      <c r="K49" s="21"/>
      <c r="L49" s="21"/>
    </row>
    <row r="50" spans="1:12" s="54" customFormat="1" ht="22.5">
      <c r="A50" s="47" t="s">
        <v>87</v>
      </c>
      <c r="B50" s="1" t="s">
        <v>88</v>
      </c>
      <c r="C50" s="19">
        <v>0</v>
      </c>
      <c r="D50" s="40"/>
      <c r="E50" s="35"/>
      <c r="F50" s="13"/>
      <c r="G50" s="13"/>
      <c r="H50" s="13"/>
      <c r="I50" s="21"/>
      <c r="J50" s="21"/>
      <c r="K50" s="21"/>
      <c r="L50" s="21"/>
    </row>
    <row r="51" spans="1:12" s="54" customFormat="1" ht="11.25">
      <c r="A51" s="46" t="s">
        <v>47</v>
      </c>
      <c r="B51" s="2" t="s">
        <v>48</v>
      </c>
      <c r="C51" s="18">
        <f>C52</f>
        <v>0</v>
      </c>
      <c r="D51" s="40"/>
      <c r="E51" s="35"/>
      <c r="F51" s="13"/>
      <c r="G51" s="13"/>
      <c r="H51" s="13"/>
      <c r="I51" s="21"/>
      <c r="J51" s="21"/>
      <c r="K51" s="21"/>
      <c r="L51" s="21"/>
    </row>
    <row r="52" spans="1:12" s="54" customFormat="1" ht="22.5">
      <c r="A52" s="47" t="s">
        <v>49</v>
      </c>
      <c r="B52" s="1" t="s">
        <v>50</v>
      </c>
      <c r="C52" s="19">
        <v>0</v>
      </c>
      <c r="D52" s="40"/>
      <c r="E52" s="35"/>
      <c r="F52" s="13"/>
      <c r="G52" s="13"/>
      <c r="H52" s="13"/>
      <c r="I52" s="21"/>
      <c r="J52" s="21"/>
      <c r="K52" s="21"/>
      <c r="L52" s="21"/>
    </row>
    <row r="53" spans="1:13" s="54" customFormat="1" ht="11.25">
      <c r="A53" s="46" t="s">
        <v>22</v>
      </c>
      <c r="B53" s="2" t="s">
        <v>21</v>
      </c>
      <c r="C53" s="53">
        <f>C55+C60</f>
        <v>11500</v>
      </c>
      <c r="D53" s="41"/>
      <c r="E53" s="36"/>
      <c r="F53" s="25"/>
      <c r="G53" s="25"/>
      <c r="H53" s="25"/>
      <c r="I53" s="26">
        <f>I54</f>
        <v>1875</v>
      </c>
      <c r="J53" s="26">
        <f>J54</f>
        <v>1875</v>
      </c>
      <c r="K53" s="26">
        <f>K54</f>
        <v>1875</v>
      </c>
      <c r="L53" s="26">
        <f>L54</f>
        <v>1876</v>
      </c>
      <c r="M53" s="61"/>
    </row>
    <row r="54" spans="1:13" s="54" customFormat="1" ht="24" customHeight="1">
      <c r="A54" s="46" t="s">
        <v>51</v>
      </c>
      <c r="B54" s="1" t="s">
        <v>116</v>
      </c>
      <c r="C54" s="53">
        <f>C60</f>
        <v>11500</v>
      </c>
      <c r="D54" s="42"/>
      <c r="E54" s="36"/>
      <c r="F54" s="25"/>
      <c r="G54" s="25"/>
      <c r="H54" s="25"/>
      <c r="I54" s="23">
        <f>I60</f>
        <v>1875</v>
      </c>
      <c r="J54" s="23">
        <f>J60</f>
        <v>1875</v>
      </c>
      <c r="K54" s="23">
        <f>K60</f>
        <v>1875</v>
      </c>
      <c r="L54" s="23">
        <f>L60</f>
        <v>1876</v>
      </c>
      <c r="M54" s="61"/>
    </row>
    <row r="55" spans="1:13" s="54" customFormat="1" ht="11.25">
      <c r="A55" s="46" t="s">
        <v>60</v>
      </c>
      <c r="B55" s="2" t="s">
        <v>61</v>
      </c>
      <c r="C55" s="53">
        <f>C56</f>
        <v>0</v>
      </c>
      <c r="D55" s="42"/>
      <c r="E55" s="36"/>
      <c r="F55" s="25"/>
      <c r="G55" s="25"/>
      <c r="H55" s="25"/>
      <c r="I55" s="23"/>
      <c r="J55" s="23"/>
      <c r="K55" s="23"/>
      <c r="L55" s="23"/>
      <c r="M55" s="61"/>
    </row>
    <row r="56" spans="1:13" s="54" customFormat="1" ht="11.25">
      <c r="A56" s="47" t="s">
        <v>62</v>
      </c>
      <c r="B56" s="1" t="s">
        <v>63</v>
      </c>
      <c r="C56" s="45">
        <f>C57</f>
        <v>0</v>
      </c>
      <c r="D56" s="42"/>
      <c r="E56" s="36"/>
      <c r="F56" s="25"/>
      <c r="G56" s="25"/>
      <c r="H56" s="25"/>
      <c r="I56" s="23"/>
      <c r="J56" s="23"/>
      <c r="K56" s="23"/>
      <c r="L56" s="23"/>
      <c r="M56" s="61"/>
    </row>
    <row r="57" spans="1:13" s="54" customFormat="1" ht="36.75" customHeight="1">
      <c r="A57" s="47" t="s">
        <v>64</v>
      </c>
      <c r="B57" s="1" t="s">
        <v>65</v>
      </c>
      <c r="C57" s="45">
        <v>0</v>
      </c>
      <c r="D57" s="42"/>
      <c r="E57" s="36"/>
      <c r="F57" s="25"/>
      <c r="G57" s="25"/>
      <c r="H57" s="25"/>
      <c r="I57" s="23"/>
      <c r="J57" s="23"/>
      <c r="K57" s="23"/>
      <c r="L57" s="23"/>
      <c r="M57" s="61"/>
    </row>
    <row r="58" spans="1:13" s="54" customFormat="1" ht="11.25">
      <c r="A58" s="47" t="s">
        <v>83</v>
      </c>
      <c r="B58" s="1" t="s">
        <v>66</v>
      </c>
      <c r="C58" s="45">
        <v>0</v>
      </c>
      <c r="D58" s="42"/>
      <c r="E58" s="36"/>
      <c r="F58" s="25"/>
      <c r="G58" s="25"/>
      <c r="H58" s="25"/>
      <c r="I58" s="23"/>
      <c r="J58" s="23"/>
      <c r="K58" s="23"/>
      <c r="L58" s="23"/>
      <c r="M58" s="61"/>
    </row>
    <row r="59" spans="1:13" s="54" customFormat="1" ht="22.5">
      <c r="A59" s="47" t="s">
        <v>84</v>
      </c>
      <c r="B59" s="1" t="s">
        <v>67</v>
      </c>
      <c r="C59" s="45">
        <v>0</v>
      </c>
      <c r="D59" s="42"/>
      <c r="E59" s="36"/>
      <c r="F59" s="25"/>
      <c r="G59" s="25"/>
      <c r="H59" s="25"/>
      <c r="I59" s="23"/>
      <c r="J59" s="23"/>
      <c r="K59" s="23"/>
      <c r="L59" s="23"/>
      <c r="M59" s="61"/>
    </row>
    <row r="60" spans="1:13" s="54" customFormat="1" ht="11.25">
      <c r="A60" s="52" t="s">
        <v>101</v>
      </c>
      <c r="B60" s="2" t="s">
        <v>52</v>
      </c>
      <c r="C60" s="24">
        <f>C61</f>
        <v>11500</v>
      </c>
      <c r="D60" s="42"/>
      <c r="E60" s="36"/>
      <c r="F60" s="25"/>
      <c r="G60" s="25"/>
      <c r="H60" s="25"/>
      <c r="I60" s="23">
        <f>I61</f>
        <v>1875</v>
      </c>
      <c r="J60" s="23">
        <f>J61</f>
        <v>1875</v>
      </c>
      <c r="K60" s="23">
        <f>K61</f>
        <v>1875</v>
      </c>
      <c r="L60" s="23">
        <f>L61</f>
        <v>1876</v>
      </c>
      <c r="M60" s="61"/>
    </row>
    <row r="61" spans="1:13" s="54" customFormat="1" ht="22.5">
      <c r="A61" s="47" t="s">
        <v>94</v>
      </c>
      <c r="B61" s="1" t="s">
        <v>95</v>
      </c>
      <c r="C61" s="27">
        <f>C62+C65</f>
        <v>11500</v>
      </c>
      <c r="D61" s="42"/>
      <c r="E61" s="36"/>
      <c r="F61" s="25"/>
      <c r="G61" s="25"/>
      <c r="H61" s="25"/>
      <c r="I61" s="23">
        <v>1875</v>
      </c>
      <c r="J61" s="23">
        <v>1875</v>
      </c>
      <c r="K61" s="23">
        <v>1875</v>
      </c>
      <c r="L61" s="23">
        <v>1876</v>
      </c>
      <c r="M61" s="61"/>
    </row>
    <row r="62" spans="1:13" s="54" customFormat="1" ht="33.75">
      <c r="A62" s="47" t="s">
        <v>144</v>
      </c>
      <c r="B62" s="1" t="s">
        <v>53</v>
      </c>
      <c r="C62" s="24">
        <f>C63+C64</f>
        <v>2640</v>
      </c>
      <c r="D62" s="42"/>
      <c r="E62" s="36"/>
      <c r="F62" s="25"/>
      <c r="G62" s="25"/>
      <c r="H62" s="25"/>
      <c r="I62" s="23"/>
      <c r="J62" s="23"/>
      <c r="K62" s="23"/>
      <c r="L62" s="23"/>
      <c r="M62" s="61"/>
    </row>
    <row r="63" spans="1:13" s="54" customFormat="1" ht="33.75">
      <c r="A63" s="47" t="s">
        <v>76</v>
      </c>
      <c r="B63" s="1" t="s">
        <v>78</v>
      </c>
      <c r="C63" s="27">
        <v>2573</v>
      </c>
      <c r="D63" s="42"/>
      <c r="E63" s="36"/>
      <c r="F63" s="25"/>
      <c r="G63" s="25"/>
      <c r="H63" s="25"/>
      <c r="I63" s="23"/>
      <c r="J63" s="23"/>
      <c r="K63" s="23"/>
      <c r="L63" s="23"/>
      <c r="M63" s="61"/>
    </row>
    <row r="64" spans="1:13" s="54" customFormat="1" ht="45">
      <c r="A64" s="47" t="s">
        <v>77</v>
      </c>
      <c r="B64" s="1" t="s">
        <v>143</v>
      </c>
      <c r="C64" s="27">
        <v>67</v>
      </c>
      <c r="D64" s="42"/>
      <c r="E64" s="36"/>
      <c r="F64" s="25"/>
      <c r="G64" s="25"/>
      <c r="H64" s="25"/>
      <c r="I64" s="23"/>
      <c r="J64" s="23"/>
      <c r="K64" s="23"/>
      <c r="L64" s="23"/>
      <c r="M64" s="61"/>
    </row>
    <row r="65" spans="1:13" s="54" customFormat="1" ht="22.5">
      <c r="A65" s="47" t="s">
        <v>98</v>
      </c>
      <c r="B65" s="1" t="s">
        <v>96</v>
      </c>
      <c r="C65" s="24">
        <f>C66</f>
        <v>8860</v>
      </c>
      <c r="D65" s="42"/>
      <c r="E65" s="36"/>
      <c r="F65" s="25"/>
      <c r="G65" s="25"/>
      <c r="H65" s="25"/>
      <c r="I65" s="23"/>
      <c r="J65" s="23"/>
      <c r="K65" s="23"/>
      <c r="L65" s="23"/>
      <c r="M65" s="61"/>
    </row>
    <row r="66" spans="1:13" s="54" customFormat="1" ht="33.75">
      <c r="A66" s="47" t="s">
        <v>145</v>
      </c>
      <c r="B66" s="1" t="s">
        <v>97</v>
      </c>
      <c r="C66" s="27">
        <f>C67+C68</f>
        <v>8860</v>
      </c>
      <c r="D66" s="42"/>
      <c r="E66" s="36"/>
      <c r="F66" s="25"/>
      <c r="G66" s="25"/>
      <c r="H66" s="25"/>
      <c r="I66" s="23"/>
      <c r="J66" s="23"/>
      <c r="K66" s="23"/>
      <c r="L66" s="23"/>
      <c r="M66" s="61"/>
    </row>
    <row r="67" spans="1:13" s="54" customFormat="1" ht="27.75" customHeight="1">
      <c r="A67" s="47" t="s">
        <v>54</v>
      </c>
      <c r="B67" s="60" t="s">
        <v>99</v>
      </c>
      <c r="C67" s="27">
        <v>6529.6</v>
      </c>
      <c r="D67" s="42"/>
      <c r="E67" s="36"/>
      <c r="F67" s="25"/>
      <c r="G67" s="25"/>
      <c r="H67" s="25"/>
      <c r="I67" s="23"/>
      <c r="J67" s="23"/>
      <c r="K67" s="23"/>
      <c r="L67" s="23"/>
      <c r="M67" s="61"/>
    </row>
    <row r="68" spans="1:13" s="54" customFormat="1" ht="22.5">
      <c r="A68" s="47" t="s">
        <v>55</v>
      </c>
      <c r="B68" s="60" t="s">
        <v>100</v>
      </c>
      <c r="C68" s="27">
        <v>2330.4</v>
      </c>
      <c r="D68" s="42"/>
      <c r="E68" s="36"/>
      <c r="F68" s="25"/>
      <c r="G68" s="25"/>
      <c r="H68" s="25"/>
      <c r="I68" s="23"/>
      <c r="J68" s="23"/>
      <c r="K68" s="23"/>
      <c r="L68" s="23"/>
      <c r="M68" s="61"/>
    </row>
    <row r="69" spans="1:13" s="54" customFormat="1" ht="11.25">
      <c r="A69" s="46" t="s">
        <v>68</v>
      </c>
      <c r="B69" s="1" t="s">
        <v>69</v>
      </c>
      <c r="C69" s="53">
        <f>C70</f>
        <v>0</v>
      </c>
      <c r="D69" s="42"/>
      <c r="E69" s="36"/>
      <c r="F69" s="25"/>
      <c r="G69" s="25"/>
      <c r="H69" s="25"/>
      <c r="I69" s="23"/>
      <c r="J69" s="23"/>
      <c r="K69" s="23"/>
      <c r="L69" s="23"/>
      <c r="M69" s="61"/>
    </row>
    <row r="70" spans="1:13" s="54" customFormat="1" ht="22.5">
      <c r="A70" s="47" t="s">
        <v>70</v>
      </c>
      <c r="B70" s="1" t="s">
        <v>71</v>
      </c>
      <c r="C70" s="45">
        <v>0</v>
      </c>
      <c r="D70" s="42"/>
      <c r="E70" s="36"/>
      <c r="F70" s="25"/>
      <c r="G70" s="25"/>
      <c r="H70" s="25"/>
      <c r="I70" s="23"/>
      <c r="J70" s="23"/>
      <c r="K70" s="23"/>
      <c r="L70" s="23"/>
      <c r="M70" s="61"/>
    </row>
    <row r="71" spans="1:13" s="54" customFormat="1" ht="11.25">
      <c r="A71" s="46" t="s">
        <v>72</v>
      </c>
      <c r="B71" s="1" t="s">
        <v>73</v>
      </c>
      <c r="C71" s="53">
        <f>C72</f>
        <v>0</v>
      </c>
      <c r="D71" s="42"/>
      <c r="E71" s="36"/>
      <c r="F71" s="25"/>
      <c r="G71" s="25"/>
      <c r="H71" s="25"/>
      <c r="I71" s="23"/>
      <c r="J71" s="23"/>
      <c r="K71" s="23"/>
      <c r="L71" s="23"/>
      <c r="M71" s="61"/>
    </row>
    <row r="72" spans="1:13" s="54" customFormat="1" ht="22.5">
      <c r="A72" s="47" t="s">
        <v>74</v>
      </c>
      <c r="B72" s="1" t="s">
        <v>75</v>
      </c>
      <c r="C72" s="45">
        <v>0</v>
      </c>
      <c r="D72" s="42"/>
      <c r="E72" s="36"/>
      <c r="F72" s="25"/>
      <c r="G72" s="25"/>
      <c r="H72" s="25"/>
      <c r="I72" s="23"/>
      <c r="J72" s="23"/>
      <c r="K72" s="23"/>
      <c r="L72" s="23"/>
      <c r="M72" s="61"/>
    </row>
    <row r="73" spans="1:13" s="54" customFormat="1" ht="33.75" customHeight="1">
      <c r="A73" s="46" t="s">
        <v>114</v>
      </c>
      <c r="B73" s="51" t="s">
        <v>115</v>
      </c>
      <c r="C73" s="53">
        <f>C74</f>
        <v>0</v>
      </c>
      <c r="D73" s="42"/>
      <c r="E73" s="36"/>
      <c r="F73" s="25"/>
      <c r="G73" s="25"/>
      <c r="H73" s="25"/>
      <c r="I73" s="23"/>
      <c r="J73" s="23"/>
      <c r="K73" s="23"/>
      <c r="L73" s="23"/>
      <c r="M73" s="61"/>
    </row>
    <row r="74" spans="1:13" s="54" customFormat="1" ht="67.5">
      <c r="A74" s="47" t="s">
        <v>117</v>
      </c>
      <c r="B74" s="51" t="s">
        <v>127</v>
      </c>
      <c r="C74" s="45">
        <v>0</v>
      </c>
      <c r="D74" s="42"/>
      <c r="E74" s="36"/>
      <c r="F74" s="25"/>
      <c r="G74" s="25"/>
      <c r="H74" s="25"/>
      <c r="I74" s="23"/>
      <c r="J74" s="23"/>
      <c r="K74" s="23"/>
      <c r="L74" s="23"/>
      <c r="M74" s="61"/>
    </row>
    <row r="75" spans="1:13" s="54" customFormat="1" ht="33.75">
      <c r="A75" s="46" t="s">
        <v>342</v>
      </c>
      <c r="B75" s="51" t="s">
        <v>337</v>
      </c>
      <c r="C75" s="53">
        <v>0</v>
      </c>
      <c r="D75" s="42"/>
      <c r="E75" s="36"/>
      <c r="F75" s="25"/>
      <c r="G75" s="25"/>
      <c r="H75" s="25"/>
      <c r="I75" s="23"/>
      <c r="J75" s="23"/>
      <c r="K75" s="23"/>
      <c r="L75" s="23"/>
      <c r="M75" s="61"/>
    </row>
    <row r="76" spans="1:13" s="54" customFormat="1" ht="33.75">
      <c r="A76" s="47" t="s">
        <v>335</v>
      </c>
      <c r="B76" s="51" t="s">
        <v>338</v>
      </c>
      <c r="C76" s="45">
        <v>0</v>
      </c>
      <c r="D76" s="42"/>
      <c r="E76" s="36"/>
      <c r="F76" s="25"/>
      <c r="G76" s="25"/>
      <c r="H76" s="25"/>
      <c r="I76" s="23"/>
      <c r="J76" s="23"/>
      <c r="K76" s="23"/>
      <c r="L76" s="23"/>
      <c r="M76" s="61"/>
    </row>
    <row r="77" spans="1:13" s="54" customFormat="1" ht="33.75">
      <c r="A77" s="47" t="s">
        <v>336</v>
      </c>
      <c r="B77" s="51" t="s">
        <v>339</v>
      </c>
      <c r="C77" s="45">
        <v>0</v>
      </c>
      <c r="D77" s="42"/>
      <c r="E77" s="36"/>
      <c r="F77" s="25"/>
      <c r="G77" s="25"/>
      <c r="H77" s="25"/>
      <c r="I77" s="23"/>
      <c r="J77" s="23"/>
      <c r="K77" s="23"/>
      <c r="L77" s="23"/>
      <c r="M77" s="61"/>
    </row>
    <row r="78" spans="1:17" ht="11.25">
      <c r="A78" s="14"/>
      <c r="B78" s="4" t="s">
        <v>7</v>
      </c>
      <c r="C78" s="18">
        <f>C9+C53</f>
        <v>83530.3</v>
      </c>
      <c r="D78" s="39"/>
      <c r="E78" s="37" t="e">
        <f>SUM(E10,E22,E25,E32)</f>
        <v>#REF!</v>
      </c>
      <c r="F78" s="5" t="e">
        <f>SUM(F10,F22,F25,F32)</f>
        <v>#REF!</v>
      </c>
      <c r="G78" s="5" t="e">
        <f>SUM(G10,G22,G25,G32)</f>
        <v>#REF!</v>
      </c>
      <c r="H78" s="5" t="e">
        <f>SUM(H10,H22,H25,H32)</f>
        <v>#REF!</v>
      </c>
      <c r="I78" s="22">
        <f>I53+I9</f>
        <v>7943.3</v>
      </c>
      <c r="J78" s="22">
        <f>J53+J9</f>
        <v>14080.1</v>
      </c>
      <c r="K78" s="22">
        <f>K53+K9</f>
        <v>15719.8</v>
      </c>
      <c r="L78" s="22">
        <f>L53+L9</f>
        <v>7916</v>
      </c>
      <c r="M78" s="7"/>
      <c r="N78" s="7"/>
      <c r="O78" s="7"/>
      <c r="P78" s="7"/>
      <c r="Q78" s="7"/>
    </row>
    <row r="79" spans="1:17" ht="11.25">
      <c r="A79" s="63"/>
      <c r="B79" s="6"/>
      <c r="C79" s="39"/>
      <c r="D79" s="39"/>
      <c r="E79" s="7"/>
      <c r="F79" s="7"/>
      <c r="G79" s="7"/>
      <c r="H79" s="7"/>
      <c r="I79" s="44"/>
      <c r="J79" s="44"/>
      <c r="K79" s="44"/>
      <c r="L79" s="44"/>
      <c r="M79" s="7"/>
      <c r="N79" s="7"/>
      <c r="O79" s="7"/>
      <c r="P79" s="7"/>
      <c r="Q79" s="7"/>
    </row>
    <row r="80" spans="1:17" ht="11.25">
      <c r="A80" s="63"/>
      <c r="B80" s="6"/>
      <c r="C80" s="39"/>
      <c r="D80" s="39"/>
      <c r="E80" s="7"/>
      <c r="F80" s="7"/>
      <c r="G80" s="7"/>
      <c r="H80" s="7"/>
      <c r="I80" s="44"/>
      <c r="J80" s="44"/>
      <c r="K80" s="44"/>
      <c r="L80" s="44"/>
      <c r="M80" s="7"/>
      <c r="N80" s="7"/>
      <c r="O80" s="7"/>
      <c r="P80" s="7"/>
      <c r="Q80" s="7"/>
    </row>
    <row r="81" spans="1:17" ht="11.25">
      <c r="A81" s="63"/>
      <c r="B81" s="6"/>
      <c r="C81" s="39"/>
      <c r="D81" s="39"/>
      <c r="E81" s="7"/>
      <c r="F81" s="7"/>
      <c r="G81" s="7"/>
      <c r="H81" s="7"/>
      <c r="I81" s="44"/>
      <c r="J81" s="44"/>
      <c r="K81" s="44"/>
      <c r="L81" s="44"/>
      <c r="M81" s="7"/>
      <c r="N81" s="7"/>
      <c r="O81" s="7"/>
      <c r="P81" s="7"/>
      <c r="Q81" s="7"/>
    </row>
    <row r="82" spans="1:17" ht="11.25">
      <c r="A82" s="63"/>
      <c r="B82" s="6"/>
      <c r="C82" s="39"/>
      <c r="D82" s="39"/>
      <c r="E82" s="7"/>
      <c r="F82" s="7"/>
      <c r="G82" s="7"/>
      <c r="H82" s="7"/>
      <c r="I82" s="44"/>
      <c r="J82" s="44"/>
      <c r="K82" s="44"/>
      <c r="L82" s="44"/>
      <c r="M82" s="7"/>
      <c r="N82" s="7"/>
      <c r="O82" s="7"/>
      <c r="P82" s="7"/>
      <c r="Q82" s="7"/>
    </row>
    <row r="83" spans="1:17" ht="11.25">
      <c r="A83" s="63"/>
      <c r="B83" s="6"/>
      <c r="C83" s="39"/>
      <c r="D83" s="39"/>
      <c r="E83" s="7"/>
      <c r="F83" s="7"/>
      <c r="G83" s="7"/>
      <c r="H83" s="7"/>
      <c r="I83" s="44"/>
      <c r="J83" s="44"/>
      <c r="K83" s="44"/>
      <c r="L83" s="44"/>
      <c r="M83" s="7"/>
      <c r="N83" s="7"/>
      <c r="O83" s="7"/>
      <c r="P83" s="7"/>
      <c r="Q83" s="7"/>
    </row>
    <row r="84" spans="1:17" ht="11.25">
      <c r="A84" s="63"/>
      <c r="B84" s="6"/>
      <c r="C84" s="39"/>
      <c r="D84" s="39"/>
      <c r="E84" s="7"/>
      <c r="F84" s="7"/>
      <c r="G84" s="7"/>
      <c r="H84" s="7"/>
      <c r="I84" s="44"/>
      <c r="J84" s="44"/>
      <c r="K84" s="44"/>
      <c r="L84" s="44"/>
      <c r="M84" s="7"/>
      <c r="N84" s="7"/>
      <c r="O84" s="7"/>
      <c r="P84" s="7"/>
      <c r="Q84" s="7"/>
    </row>
    <row r="85" spans="1:17" ht="11.25">
      <c r="A85" s="63"/>
      <c r="B85" s="6"/>
      <c r="C85" s="39"/>
      <c r="D85" s="39"/>
      <c r="E85" s="7"/>
      <c r="F85" s="7"/>
      <c r="G85" s="7"/>
      <c r="H85" s="7"/>
      <c r="I85" s="44"/>
      <c r="J85" s="44"/>
      <c r="K85" s="44"/>
      <c r="L85" s="44"/>
      <c r="M85" s="7"/>
      <c r="N85" s="7"/>
      <c r="O85" s="7"/>
      <c r="P85" s="7"/>
      <c r="Q85" s="7"/>
    </row>
    <row r="86" spans="1:17" ht="11.25">
      <c r="A86" s="63"/>
      <c r="B86" s="6"/>
      <c r="C86" s="39"/>
      <c r="D86" s="39"/>
      <c r="E86" s="7"/>
      <c r="F86" s="7"/>
      <c r="G86" s="7"/>
      <c r="H86" s="7"/>
      <c r="I86" s="44"/>
      <c r="J86" s="44"/>
      <c r="K86" s="44"/>
      <c r="L86" s="44"/>
      <c r="M86" s="7"/>
      <c r="N86" s="7"/>
      <c r="O86" s="7"/>
      <c r="P86" s="7"/>
      <c r="Q86" s="7"/>
    </row>
    <row r="87" spans="1:17" ht="11.25">
      <c r="A87" s="63"/>
      <c r="B87" s="6"/>
      <c r="C87" s="39"/>
      <c r="D87" s="39"/>
      <c r="E87" s="7"/>
      <c r="F87" s="7"/>
      <c r="G87" s="7"/>
      <c r="H87" s="7"/>
      <c r="I87" s="44"/>
      <c r="J87" s="44"/>
      <c r="K87" s="44"/>
      <c r="L87" s="44"/>
      <c r="M87" s="7"/>
      <c r="N87" s="7"/>
      <c r="O87" s="7"/>
      <c r="P87" s="7"/>
      <c r="Q87" s="7"/>
    </row>
    <row r="88" spans="1:17" ht="11.25">
      <c r="A88" s="63"/>
      <c r="B88" s="6"/>
      <c r="C88" s="39"/>
      <c r="D88" s="39"/>
      <c r="E88" s="7"/>
      <c r="F88" s="7"/>
      <c r="G88" s="7"/>
      <c r="H88" s="7"/>
      <c r="I88" s="44"/>
      <c r="J88" s="44"/>
      <c r="K88" s="44"/>
      <c r="L88" s="44"/>
      <c r="M88" s="7"/>
      <c r="N88" s="7"/>
      <c r="O88" s="7"/>
      <c r="P88" s="7"/>
      <c r="Q88" s="7"/>
    </row>
    <row r="89" spans="1:17" ht="11.25">
      <c r="A89" s="63"/>
      <c r="B89" s="6"/>
      <c r="C89" s="39"/>
      <c r="D89" s="39"/>
      <c r="E89" s="7"/>
      <c r="F89" s="7"/>
      <c r="G89" s="7"/>
      <c r="H89" s="7"/>
      <c r="I89" s="44"/>
      <c r="J89" s="44"/>
      <c r="K89" s="44"/>
      <c r="L89" s="44"/>
      <c r="M89" s="7"/>
      <c r="N89" s="7"/>
      <c r="O89" s="7"/>
      <c r="P89" s="7"/>
      <c r="Q89" s="7"/>
    </row>
    <row r="90" spans="1:17" ht="11.25">
      <c r="A90" s="63"/>
      <c r="B90" s="6"/>
      <c r="C90" s="39"/>
      <c r="D90" s="39"/>
      <c r="E90" s="7"/>
      <c r="F90" s="7"/>
      <c r="G90" s="7"/>
      <c r="H90" s="7"/>
      <c r="I90" s="44"/>
      <c r="J90" s="44"/>
      <c r="K90" s="44"/>
      <c r="L90" s="44"/>
      <c r="M90" s="7"/>
      <c r="N90" s="7"/>
      <c r="O90" s="7"/>
      <c r="P90" s="7"/>
      <c r="Q90" s="7"/>
    </row>
    <row r="91" spans="1:17" ht="11.25">
      <c r="A91" s="63"/>
      <c r="B91" s="6"/>
      <c r="C91" s="39"/>
      <c r="D91" s="39"/>
      <c r="E91" s="7"/>
      <c r="F91" s="7"/>
      <c r="G91" s="7"/>
      <c r="H91" s="7"/>
      <c r="I91" s="44"/>
      <c r="J91" s="44"/>
      <c r="K91" s="44"/>
      <c r="L91" s="44"/>
      <c r="M91" s="7"/>
      <c r="N91" s="7"/>
      <c r="O91" s="7"/>
      <c r="P91" s="7"/>
      <c r="Q91" s="7"/>
    </row>
    <row r="92" spans="1:17" ht="11.25">
      <c r="A92" s="63"/>
      <c r="B92" s="6"/>
      <c r="C92" s="39"/>
      <c r="D92" s="39"/>
      <c r="E92" s="7"/>
      <c r="F92" s="7"/>
      <c r="G92" s="7"/>
      <c r="H92" s="7"/>
      <c r="I92" s="44"/>
      <c r="J92" s="44"/>
      <c r="K92" s="44"/>
      <c r="L92" s="44"/>
      <c r="M92" s="7"/>
      <c r="N92" s="7"/>
      <c r="O92" s="7"/>
      <c r="P92" s="7"/>
      <c r="Q92" s="7"/>
    </row>
    <row r="93" spans="1:17" ht="11.25">
      <c r="A93" s="63"/>
      <c r="B93" s="6"/>
      <c r="C93" s="39"/>
      <c r="D93" s="39"/>
      <c r="E93" s="7"/>
      <c r="F93" s="7"/>
      <c r="G93" s="7"/>
      <c r="H93" s="7"/>
      <c r="I93" s="44"/>
      <c r="J93" s="44"/>
      <c r="K93" s="44"/>
      <c r="L93" s="44"/>
      <c r="M93" s="7"/>
      <c r="N93" s="7"/>
      <c r="O93" s="7"/>
      <c r="P93" s="7"/>
      <c r="Q93" s="7"/>
    </row>
    <row r="94" spans="1:17" ht="11.25">
      <c r="A94" s="63"/>
      <c r="B94" s="6"/>
      <c r="C94" s="39"/>
      <c r="D94" s="39"/>
      <c r="E94" s="7"/>
      <c r="F94" s="7"/>
      <c r="G94" s="7"/>
      <c r="H94" s="7"/>
      <c r="I94" s="44"/>
      <c r="J94" s="44"/>
      <c r="K94" s="44"/>
      <c r="L94" s="44"/>
      <c r="M94" s="7"/>
      <c r="N94" s="7"/>
      <c r="O94" s="7"/>
      <c r="P94" s="7"/>
      <c r="Q94" s="7"/>
    </row>
    <row r="95" spans="1:8" ht="11.25">
      <c r="A95" s="63"/>
      <c r="B95" s="6"/>
      <c r="C95" s="64"/>
      <c r="D95" s="7"/>
      <c r="E95" s="7"/>
      <c r="F95" s="7"/>
      <c r="G95" s="7"/>
      <c r="H95" s="7"/>
    </row>
    <row r="96" spans="1:8" ht="11.25">
      <c r="A96" s="63"/>
      <c r="B96" s="174"/>
      <c r="C96" s="174"/>
      <c r="D96" s="174"/>
      <c r="E96" s="174"/>
      <c r="F96" s="174"/>
      <c r="G96" s="174"/>
      <c r="H96" s="174"/>
    </row>
    <row r="97" spans="1:8" ht="4.5" customHeight="1">
      <c r="A97" s="63"/>
      <c r="B97" s="8"/>
      <c r="C97" s="8"/>
      <c r="D97" s="8"/>
      <c r="E97" s="8"/>
      <c r="F97" s="8"/>
      <c r="G97" s="8"/>
      <c r="H97" s="8"/>
    </row>
    <row r="98" spans="1:9" ht="25.5" customHeight="1">
      <c r="A98" s="185"/>
      <c r="B98" s="185"/>
      <c r="C98" s="185"/>
      <c r="D98" s="185"/>
      <c r="E98" s="185"/>
      <c r="F98" s="185"/>
      <c r="G98" s="185"/>
      <c r="H98" s="185"/>
      <c r="I98" s="186"/>
    </row>
    <row r="99" spans="1:9" ht="11.25">
      <c r="A99" s="63"/>
      <c r="B99" s="187"/>
      <c r="C99" s="170"/>
      <c r="D99" s="170"/>
      <c r="E99" s="170"/>
      <c r="F99" s="170"/>
      <c r="G99" s="170"/>
      <c r="H99" s="170"/>
      <c r="I99" s="170"/>
    </row>
    <row r="100" spans="1:9" ht="11.25">
      <c r="A100" s="63"/>
      <c r="B100" s="171"/>
      <c r="C100" s="171"/>
      <c r="D100" s="171"/>
      <c r="E100" s="171"/>
      <c r="F100" s="171"/>
      <c r="G100" s="171"/>
      <c r="H100" s="171"/>
      <c r="I100" s="171"/>
    </row>
    <row r="101" spans="1:9" ht="11.25">
      <c r="A101" s="63"/>
      <c r="B101" s="9"/>
      <c r="C101" s="64"/>
      <c r="D101" s="7"/>
      <c r="E101" s="7"/>
      <c r="F101" s="7"/>
      <c r="G101" s="7"/>
      <c r="H101" s="7"/>
      <c r="I101" s="186"/>
    </row>
    <row r="102" spans="1:9" ht="11.25">
      <c r="A102" s="11"/>
      <c r="B102" s="10"/>
      <c r="C102" s="65"/>
      <c r="D102" s="11"/>
      <c r="E102" s="11"/>
      <c r="F102" s="11"/>
      <c r="G102" s="11"/>
      <c r="H102" s="11"/>
      <c r="I102" s="186"/>
    </row>
    <row r="103" spans="1:12" ht="48.75" customHeight="1">
      <c r="A103" s="188"/>
      <c r="B103" s="189"/>
      <c r="C103" s="38"/>
      <c r="D103" s="9"/>
      <c r="E103" s="167"/>
      <c r="F103" s="167"/>
      <c r="G103" s="167"/>
      <c r="H103" s="167"/>
      <c r="I103" s="190"/>
      <c r="J103" s="184" t="s">
        <v>30</v>
      </c>
      <c r="K103" s="66" t="s">
        <v>31</v>
      </c>
      <c r="L103" s="66" t="s">
        <v>29</v>
      </c>
    </row>
    <row r="104" spans="1:12" ht="11.25">
      <c r="A104" s="65"/>
      <c r="B104" s="10"/>
      <c r="C104" s="43"/>
      <c r="D104" s="43"/>
      <c r="E104" s="43"/>
      <c r="F104" s="43"/>
      <c r="G104" s="43"/>
      <c r="H104" s="43"/>
      <c r="I104" s="43"/>
      <c r="J104" s="33" t="e">
        <f>'[1]вед'!M104-'[1]доходы'!J61</f>
        <v>#REF!</v>
      </c>
      <c r="K104" s="20" t="e">
        <f>'[1]вед'!N104-'[1]доходы'!K61</f>
        <v>#REF!</v>
      </c>
      <c r="L104" s="20" t="e">
        <f>'[1]вед'!O104-'[1]доходы'!L61</f>
        <v>#REF!</v>
      </c>
    </row>
    <row r="105" spans="4:8" ht="11.25">
      <c r="D105" s="67"/>
      <c r="E105" s="67"/>
      <c r="F105" s="67"/>
      <c r="G105" s="67"/>
      <c r="H105" s="67"/>
    </row>
    <row r="106" spans="4:8" ht="11.25">
      <c r="D106" s="67"/>
      <c r="E106" s="67"/>
      <c r="F106" s="67"/>
      <c r="G106" s="67"/>
      <c r="H106" s="67"/>
    </row>
    <row r="107" ht="11.25">
      <c r="E107" s="67"/>
    </row>
    <row r="109" spans="6:8" ht="11.25">
      <c r="F109" s="67"/>
      <c r="G109" s="67"/>
      <c r="H109" s="67"/>
    </row>
  </sheetData>
  <mergeCells count="7">
    <mergeCell ref="A98:H98"/>
    <mergeCell ref="C99:I99"/>
    <mergeCell ref="B100:I100"/>
    <mergeCell ref="B1:H1"/>
    <mergeCell ref="A6:H6"/>
    <mergeCell ref="B96:H96"/>
    <mergeCell ref="A3:C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&amp;RПриложение 1</oddHeader>
    <oddFooter>&amp;R&amp;P из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selection activeCell="B8" sqref="B8"/>
    </sheetView>
  </sheetViews>
  <sheetFormatPr defaultColWidth="9.00390625" defaultRowHeight="12.75"/>
  <cols>
    <col min="1" max="1" width="5.00390625" style="83" customWidth="1"/>
    <col min="2" max="2" width="69.00390625" style="83" customWidth="1"/>
    <col min="3" max="3" width="6.875" style="83" customWidth="1"/>
    <col min="4" max="4" width="7.875" style="83" customWidth="1"/>
    <col min="5" max="5" width="10.00390625" style="83" customWidth="1"/>
    <col min="6" max="6" width="7.125" style="83" customWidth="1"/>
    <col min="7" max="7" width="9.75390625" style="83" customWidth="1"/>
    <col min="8" max="11" width="6.625" style="83" hidden="1" customWidth="1"/>
    <col min="12" max="12" width="6.875" style="0" hidden="1" customWidth="1"/>
    <col min="13" max="14" width="0.12890625" style="0" hidden="1" customWidth="1"/>
    <col min="15" max="15" width="6.75390625" style="0" hidden="1" customWidth="1"/>
  </cols>
  <sheetData>
    <row r="1" spans="1:11" s="77" customFormat="1" ht="12.75">
      <c r="A1" s="178" t="s">
        <v>344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77" customFormat="1" ht="1.5" customHeight="1">
      <c r="A2" s="3"/>
      <c r="B2" s="3"/>
      <c r="C2" s="3"/>
      <c r="D2" s="78"/>
      <c r="E2" s="78"/>
      <c r="F2" s="78"/>
      <c r="G2" s="3"/>
      <c r="H2" s="3"/>
      <c r="I2" s="3"/>
      <c r="J2" s="3"/>
      <c r="K2" s="3"/>
    </row>
    <row r="3" spans="1:11" s="77" customFormat="1" ht="11.25" customHeight="1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6" s="54" customFormat="1" ht="25.5" customHeight="1">
      <c r="A4" s="169" t="s">
        <v>356</v>
      </c>
      <c r="B4" s="169"/>
      <c r="C4" s="169"/>
      <c r="D4" s="181"/>
      <c r="E4" s="181"/>
      <c r="F4" s="181"/>
      <c r="G4" s="68"/>
      <c r="H4" s="68"/>
      <c r="I4" s="70"/>
      <c r="J4" s="70"/>
      <c r="K4" s="70"/>
      <c r="L4" s="70"/>
      <c r="M4" s="70"/>
      <c r="N4" s="70"/>
      <c r="O4" s="70"/>
      <c r="P4" s="70"/>
    </row>
    <row r="5" spans="1:11" s="77" customFormat="1" ht="11.25" customHeight="1">
      <c r="A5" s="79"/>
      <c r="B5" s="80"/>
      <c r="C5" s="81"/>
      <c r="D5" s="81"/>
      <c r="E5" s="81"/>
      <c r="F5" s="81"/>
      <c r="G5" s="81"/>
      <c r="H5" s="81"/>
      <c r="I5" s="81"/>
      <c r="J5" s="81"/>
      <c r="K5" s="81"/>
    </row>
    <row r="6" spans="1:16" s="77" customFormat="1" ht="22.5" customHeight="1">
      <c r="A6" s="175" t="s">
        <v>318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7"/>
      <c r="M6" s="177"/>
      <c r="N6" s="177"/>
      <c r="O6" s="177"/>
      <c r="P6" s="177"/>
    </row>
    <row r="7" spans="1:11" ht="12.75">
      <c r="A7" s="82"/>
      <c r="D7" s="84"/>
      <c r="E7" s="84"/>
      <c r="F7" s="84"/>
      <c r="G7" s="3"/>
      <c r="H7" s="3"/>
      <c r="I7" s="3"/>
      <c r="J7" s="3"/>
      <c r="K7" s="3"/>
    </row>
    <row r="8" spans="1:15" ht="61.5" customHeight="1">
      <c r="A8" s="85" t="s">
        <v>147</v>
      </c>
      <c r="B8" s="85" t="s">
        <v>148</v>
      </c>
      <c r="C8" s="85" t="s">
        <v>149</v>
      </c>
      <c r="D8" s="86" t="s">
        <v>150</v>
      </c>
      <c r="E8" s="86" t="s">
        <v>151</v>
      </c>
      <c r="F8" s="86" t="s">
        <v>152</v>
      </c>
      <c r="G8" s="87" t="s">
        <v>153</v>
      </c>
      <c r="H8" s="88" t="s">
        <v>0</v>
      </c>
      <c r="I8" s="88" t="s">
        <v>154</v>
      </c>
      <c r="J8" s="88" t="s">
        <v>155</v>
      </c>
      <c r="K8" s="88" t="s">
        <v>156</v>
      </c>
      <c r="L8" s="89" t="s">
        <v>26</v>
      </c>
      <c r="M8" s="89" t="s">
        <v>157</v>
      </c>
      <c r="N8" s="89" t="s">
        <v>28</v>
      </c>
      <c r="O8" s="89" t="s">
        <v>29</v>
      </c>
    </row>
    <row r="9" spans="1:15" ht="33" customHeight="1">
      <c r="A9" s="85"/>
      <c r="B9" s="90" t="s">
        <v>343</v>
      </c>
      <c r="C9" s="91">
        <v>911</v>
      </c>
      <c r="D9" s="86"/>
      <c r="E9" s="86"/>
      <c r="F9" s="86"/>
      <c r="G9" s="92">
        <f>G10+G35+G44+G73+G81+G87+G98+G102+G39</f>
        <v>85722.59999999999</v>
      </c>
      <c r="H9" s="88"/>
      <c r="I9" s="88"/>
      <c r="J9" s="88"/>
      <c r="K9" s="88"/>
      <c r="L9" s="89"/>
      <c r="M9" s="89"/>
      <c r="N9" s="89"/>
      <c r="O9" s="89"/>
    </row>
    <row r="10" spans="1:15" ht="12.75">
      <c r="A10" s="93" t="s">
        <v>158</v>
      </c>
      <c r="B10" s="94" t="s">
        <v>159</v>
      </c>
      <c r="C10" s="95" t="s">
        <v>160</v>
      </c>
      <c r="D10" s="96" t="s">
        <v>161</v>
      </c>
      <c r="E10" s="97"/>
      <c r="F10" s="97"/>
      <c r="G10" s="98">
        <f>G11+G14+G19+G27+G30</f>
        <v>13922</v>
      </c>
      <c r="H10" s="5">
        <f>SUM(H14:H30)</f>
        <v>1354.8400000000001</v>
      </c>
      <c r="I10" s="5">
        <f>SUM(I14:I30)</f>
        <v>1424.5900000000001</v>
      </c>
      <c r="J10" s="5">
        <f>SUM(J14:J30)</f>
        <v>1620.6799999999998</v>
      </c>
      <c r="K10" s="5">
        <f>SUM(K14:K30)</f>
        <v>1903.8600000000001</v>
      </c>
      <c r="L10" s="99" t="e">
        <f>L11+L14</f>
        <v>#REF!</v>
      </c>
      <c r="M10" s="99" t="e">
        <f>M11+M14</f>
        <v>#REF!</v>
      </c>
      <c r="N10" s="99" t="e">
        <f>N11+N14</f>
        <v>#REF!</v>
      </c>
      <c r="O10" s="99" t="e">
        <f>O11+O14</f>
        <v>#REF!</v>
      </c>
    </row>
    <row r="11" spans="1:15" ht="22.5" customHeight="1">
      <c r="A11" s="100" t="s">
        <v>162</v>
      </c>
      <c r="B11" s="4" t="s">
        <v>163</v>
      </c>
      <c r="C11" s="95" t="s">
        <v>160</v>
      </c>
      <c r="D11" s="96" t="s">
        <v>164</v>
      </c>
      <c r="E11" s="101"/>
      <c r="F11" s="101"/>
      <c r="G11" s="102">
        <f>G12</f>
        <v>933.3</v>
      </c>
      <c r="H11" s="103"/>
      <c r="I11" s="103"/>
      <c r="J11" s="103"/>
      <c r="K11" s="103"/>
      <c r="L11" s="104" t="e">
        <f>L12+#REF!</f>
        <v>#REF!</v>
      </c>
      <c r="M11" s="104" t="e">
        <f>M12+#REF!</f>
        <v>#REF!</v>
      </c>
      <c r="N11" s="104" t="e">
        <f>N12+#REF!</f>
        <v>#REF!</v>
      </c>
      <c r="O11" s="104" t="e">
        <f>O12+#REF!</f>
        <v>#REF!</v>
      </c>
    </row>
    <row r="12" spans="1:15" ht="12.75">
      <c r="A12" s="105"/>
      <c r="B12" s="106" t="s">
        <v>165</v>
      </c>
      <c r="C12" s="95" t="s">
        <v>160</v>
      </c>
      <c r="D12" s="101" t="s">
        <v>164</v>
      </c>
      <c r="E12" s="101" t="s">
        <v>166</v>
      </c>
      <c r="F12" s="101"/>
      <c r="G12" s="107">
        <f>G13</f>
        <v>933.3</v>
      </c>
      <c r="H12" s="5"/>
      <c r="I12" s="5"/>
      <c r="J12" s="5"/>
      <c r="K12" s="5"/>
      <c r="L12" s="108" t="e">
        <f>L13</f>
        <v>#REF!</v>
      </c>
      <c r="M12" s="108" t="e">
        <f>M13</f>
        <v>#REF!</v>
      </c>
      <c r="N12" s="108" t="e">
        <f>N13</f>
        <v>#REF!</v>
      </c>
      <c r="O12" s="108" t="e">
        <f>O13</f>
        <v>#REF!</v>
      </c>
    </row>
    <row r="13" spans="1:15" ht="12.75">
      <c r="A13" s="105"/>
      <c r="B13" s="94" t="s">
        <v>167</v>
      </c>
      <c r="C13" s="95" t="s">
        <v>160</v>
      </c>
      <c r="D13" s="101" t="s">
        <v>164</v>
      </c>
      <c r="E13" s="101" t="s">
        <v>166</v>
      </c>
      <c r="F13" s="101" t="s">
        <v>168</v>
      </c>
      <c r="G13" s="107">
        <v>933.3</v>
      </c>
      <c r="H13" s="5"/>
      <c r="I13" s="5"/>
      <c r="J13" s="5"/>
      <c r="K13" s="5"/>
      <c r="L13" s="108" t="e">
        <f>#REF!+#REF!</f>
        <v>#REF!</v>
      </c>
      <c r="M13" s="108" t="e">
        <f>#REF!+#REF!</f>
        <v>#REF!</v>
      </c>
      <c r="N13" s="108" t="e">
        <f>#REF!+#REF!</f>
        <v>#REF!</v>
      </c>
      <c r="O13" s="108" t="e">
        <f>#REF!+#REF!</f>
        <v>#REF!</v>
      </c>
    </row>
    <row r="14" spans="1:15" ht="21.75" customHeight="1">
      <c r="A14" s="93" t="s">
        <v>169</v>
      </c>
      <c r="B14" s="4" t="s">
        <v>170</v>
      </c>
      <c r="C14" s="95" t="s">
        <v>160</v>
      </c>
      <c r="D14" s="96" t="s">
        <v>171</v>
      </c>
      <c r="E14" s="101"/>
      <c r="F14" s="101"/>
      <c r="G14" s="102">
        <f>G15+G17</f>
        <v>722.9</v>
      </c>
      <c r="H14" s="109">
        <f>1174.16-123.29-32.31+14.2+10+50.5-0.02</f>
        <v>1093.2400000000002</v>
      </c>
      <c r="I14" s="109">
        <f>1124.46+142.52+37.33+83.4+10+35-0.02+45-100</f>
        <v>1377.69</v>
      </c>
      <c r="J14" s="109">
        <f>1024.46+142.52+37.33-0.02+6.5+82.49+220+16</f>
        <v>1529.28</v>
      </c>
      <c r="K14" s="109">
        <f>1068.97+401.87+105.28-0.05+6.5+229.89</f>
        <v>1812.46</v>
      </c>
      <c r="L14" s="104" t="e">
        <f>#REF!+L15+#REF!</f>
        <v>#REF!</v>
      </c>
      <c r="M14" s="104" t="e">
        <f>#REF!+M15+#REF!</f>
        <v>#REF!</v>
      </c>
      <c r="N14" s="104" t="e">
        <f>#REF!+N15+#REF!</f>
        <v>#REF!</v>
      </c>
      <c r="O14" s="104" t="e">
        <f>#REF!+O15+#REF!</f>
        <v>#REF!</v>
      </c>
    </row>
    <row r="15" spans="1:18" ht="15.75" customHeight="1">
      <c r="A15" s="110" t="s">
        <v>172</v>
      </c>
      <c r="B15" s="94" t="s">
        <v>173</v>
      </c>
      <c r="C15" s="95" t="s">
        <v>160</v>
      </c>
      <c r="D15" s="101" t="s">
        <v>171</v>
      </c>
      <c r="E15" s="101" t="s">
        <v>174</v>
      </c>
      <c r="F15" s="101"/>
      <c r="G15" s="107">
        <f>G16</f>
        <v>84.9</v>
      </c>
      <c r="H15" s="109"/>
      <c r="I15" s="109"/>
      <c r="J15" s="109"/>
      <c r="K15" s="109"/>
      <c r="L15" s="111" t="e">
        <f>L16</f>
        <v>#REF!</v>
      </c>
      <c r="M15" s="111" t="e">
        <f>M16</f>
        <v>#REF!</v>
      </c>
      <c r="N15" s="111" t="e">
        <f>N16</f>
        <v>#REF!</v>
      </c>
      <c r="O15" s="112" t="e">
        <f>O16</f>
        <v>#REF!</v>
      </c>
      <c r="P15" s="113"/>
      <c r="Q15" s="113"/>
      <c r="R15" s="113"/>
    </row>
    <row r="16" spans="1:18" ht="14.25" customHeight="1">
      <c r="A16" s="110"/>
      <c r="B16" s="94" t="s">
        <v>167</v>
      </c>
      <c r="C16" s="95" t="s">
        <v>160</v>
      </c>
      <c r="D16" s="101" t="s">
        <v>171</v>
      </c>
      <c r="E16" s="101" t="s">
        <v>174</v>
      </c>
      <c r="F16" s="101" t="s">
        <v>168</v>
      </c>
      <c r="G16" s="107">
        <v>84.9</v>
      </c>
      <c r="H16" s="114"/>
      <c r="I16" s="114"/>
      <c r="J16" s="114"/>
      <c r="K16" s="114"/>
      <c r="L16" s="115" t="e">
        <f>#REF!</f>
        <v>#REF!</v>
      </c>
      <c r="M16" s="115" t="e">
        <f>#REF!</f>
        <v>#REF!</v>
      </c>
      <c r="N16" s="115" t="e">
        <f>#REF!</f>
        <v>#REF!</v>
      </c>
      <c r="O16" s="116" t="e">
        <f>#REF!</f>
        <v>#REF!</v>
      </c>
      <c r="P16" s="113"/>
      <c r="Q16" s="113"/>
      <c r="R16" s="113"/>
    </row>
    <row r="17" spans="1:18" ht="14.25" customHeight="1">
      <c r="A17" s="110" t="s">
        <v>175</v>
      </c>
      <c r="B17" s="94" t="s">
        <v>176</v>
      </c>
      <c r="C17" s="95" t="s">
        <v>160</v>
      </c>
      <c r="D17" s="101" t="s">
        <v>171</v>
      </c>
      <c r="E17" s="101" t="s">
        <v>177</v>
      </c>
      <c r="F17" s="101"/>
      <c r="G17" s="107">
        <f>G18</f>
        <v>638</v>
      </c>
      <c r="H17" s="114"/>
      <c r="I17" s="114"/>
      <c r="J17" s="114"/>
      <c r="K17" s="114"/>
      <c r="L17" s="115"/>
      <c r="M17" s="115"/>
      <c r="N17" s="115"/>
      <c r="O17" s="116"/>
      <c r="P17" s="113"/>
      <c r="Q17" s="113"/>
      <c r="R17" s="113"/>
    </row>
    <row r="18" spans="1:18" ht="14.25" customHeight="1">
      <c r="A18" s="110"/>
      <c r="B18" s="94" t="s">
        <v>167</v>
      </c>
      <c r="C18" s="95" t="s">
        <v>160</v>
      </c>
      <c r="D18" s="101" t="s">
        <v>171</v>
      </c>
      <c r="E18" s="101" t="s">
        <v>177</v>
      </c>
      <c r="F18" s="101" t="s">
        <v>168</v>
      </c>
      <c r="G18" s="107">
        <v>638</v>
      </c>
      <c r="H18" s="114"/>
      <c r="I18" s="114"/>
      <c r="J18" s="114"/>
      <c r="K18" s="114"/>
      <c r="L18" s="115"/>
      <c r="M18" s="115"/>
      <c r="N18" s="115"/>
      <c r="O18" s="116"/>
      <c r="P18" s="113"/>
      <c r="Q18" s="113"/>
      <c r="R18" s="113"/>
    </row>
    <row r="19" spans="1:18" ht="36" customHeight="1">
      <c r="A19" s="93" t="s">
        <v>178</v>
      </c>
      <c r="B19" s="4" t="s">
        <v>179</v>
      </c>
      <c r="C19" s="117">
        <v>911</v>
      </c>
      <c r="D19" s="96" t="s">
        <v>180</v>
      </c>
      <c r="E19" s="101"/>
      <c r="F19" s="101"/>
      <c r="G19" s="102">
        <f>G20+G22</f>
        <v>11675.8</v>
      </c>
      <c r="H19" s="114">
        <v>65.7</v>
      </c>
      <c r="I19" s="114">
        <v>0</v>
      </c>
      <c r="J19" s="114">
        <v>0</v>
      </c>
      <c r="K19" s="114">
        <v>0</v>
      </c>
      <c r="L19" s="99" t="e">
        <f>L20+L22+#REF!+#REF!</f>
        <v>#REF!</v>
      </c>
      <c r="M19" s="99" t="e">
        <f>M20+M22+#REF!+#REF!</f>
        <v>#REF!</v>
      </c>
      <c r="N19" s="99" t="e">
        <f>N20+N22+#REF!+#REF!</f>
        <v>#REF!</v>
      </c>
      <c r="O19" s="118" t="e">
        <f>O20+O22+#REF!+#REF!</f>
        <v>#REF!</v>
      </c>
      <c r="P19" s="113"/>
      <c r="Q19" s="113"/>
      <c r="R19" s="113"/>
    </row>
    <row r="20" spans="1:18" ht="21.75" customHeight="1">
      <c r="A20" s="110"/>
      <c r="B20" s="94" t="s">
        <v>181</v>
      </c>
      <c r="C20" s="119">
        <v>911</v>
      </c>
      <c r="D20" s="120" t="s">
        <v>180</v>
      </c>
      <c r="E20" s="120" t="s">
        <v>182</v>
      </c>
      <c r="F20" s="121"/>
      <c r="G20" s="107">
        <f>G21</f>
        <v>933.3</v>
      </c>
      <c r="H20" s="109"/>
      <c r="I20" s="109"/>
      <c r="J20" s="109"/>
      <c r="K20" s="109"/>
      <c r="L20" s="111" t="e">
        <f>L21</f>
        <v>#REF!</v>
      </c>
      <c r="M20" s="111" t="e">
        <f>M21</f>
        <v>#REF!</v>
      </c>
      <c r="N20" s="111" t="e">
        <f>N21</f>
        <v>#REF!</v>
      </c>
      <c r="O20" s="112" t="e">
        <f>O21</f>
        <v>#REF!</v>
      </c>
      <c r="P20" s="113"/>
      <c r="Q20" s="113"/>
      <c r="R20" s="113"/>
    </row>
    <row r="21" spans="1:18" ht="13.5" customHeight="1">
      <c r="A21" s="110"/>
      <c r="B21" s="94" t="s">
        <v>167</v>
      </c>
      <c r="C21" s="119">
        <v>911</v>
      </c>
      <c r="D21" s="101" t="s">
        <v>180</v>
      </c>
      <c r="E21" s="120" t="s">
        <v>182</v>
      </c>
      <c r="F21" s="101" t="s">
        <v>168</v>
      </c>
      <c r="G21" s="107">
        <v>933.3</v>
      </c>
      <c r="H21" s="114"/>
      <c r="I21" s="114"/>
      <c r="J21" s="114"/>
      <c r="K21" s="114"/>
      <c r="L21" s="115" t="e">
        <f>#REF!+#REF!</f>
        <v>#REF!</v>
      </c>
      <c r="M21" s="115" t="e">
        <f>#REF!+#REF!</f>
        <v>#REF!</v>
      </c>
      <c r="N21" s="115" t="e">
        <f>#REF!+#REF!</f>
        <v>#REF!</v>
      </c>
      <c r="O21" s="116" t="e">
        <f>#REF!+#REF!</f>
        <v>#REF!</v>
      </c>
      <c r="P21" s="113"/>
      <c r="Q21" s="113"/>
      <c r="R21" s="113"/>
    </row>
    <row r="22" spans="1:15" ht="21.75" customHeight="1">
      <c r="A22" s="110"/>
      <c r="B22" s="94" t="s">
        <v>183</v>
      </c>
      <c r="C22" s="119">
        <v>911</v>
      </c>
      <c r="D22" s="120" t="s">
        <v>180</v>
      </c>
      <c r="E22" s="120" t="s">
        <v>184</v>
      </c>
      <c r="F22" s="121"/>
      <c r="G22" s="107">
        <f>G23+G25</f>
        <v>10742.5</v>
      </c>
      <c r="H22" s="109"/>
      <c r="I22" s="109"/>
      <c r="J22" s="109"/>
      <c r="K22" s="109"/>
      <c r="L22" s="111" t="e">
        <f>L24</f>
        <v>#REF!</v>
      </c>
      <c r="M22" s="111" t="e">
        <f>M24</f>
        <v>#REF!</v>
      </c>
      <c r="N22" s="111" t="e">
        <f>N24</f>
        <v>#REF!</v>
      </c>
      <c r="O22" s="111" t="e">
        <f>O24</f>
        <v>#REF!</v>
      </c>
    </row>
    <row r="23" spans="1:15" ht="21.75" customHeight="1">
      <c r="A23" s="110"/>
      <c r="B23" s="94" t="s">
        <v>185</v>
      </c>
      <c r="C23" s="119">
        <v>911</v>
      </c>
      <c r="D23" s="120" t="s">
        <v>180</v>
      </c>
      <c r="E23" s="120" t="s">
        <v>186</v>
      </c>
      <c r="F23" s="121"/>
      <c r="G23" s="107">
        <f>G24</f>
        <v>10675.5</v>
      </c>
      <c r="H23" s="109"/>
      <c r="I23" s="109"/>
      <c r="J23" s="109"/>
      <c r="K23" s="109"/>
      <c r="L23" s="111"/>
      <c r="M23" s="111"/>
      <c r="N23" s="111"/>
      <c r="O23" s="111"/>
    </row>
    <row r="24" spans="1:15" ht="13.5" customHeight="1">
      <c r="A24" s="110"/>
      <c r="B24" s="94" t="s">
        <v>167</v>
      </c>
      <c r="C24" s="119">
        <v>911</v>
      </c>
      <c r="D24" s="120" t="s">
        <v>180</v>
      </c>
      <c r="E24" s="120" t="s">
        <v>186</v>
      </c>
      <c r="F24" s="101" t="s">
        <v>168</v>
      </c>
      <c r="G24" s="107">
        <f>10475.5+200</f>
        <v>10675.5</v>
      </c>
      <c r="H24" s="114"/>
      <c r="I24" s="114"/>
      <c r="J24" s="114"/>
      <c r="K24" s="114"/>
      <c r="L24" s="115" t="e">
        <f>#REF!+#REF!</f>
        <v>#REF!</v>
      </c>
      <c r="M24" s="115" t="e">
        <f>#REF!+#REF!</f>
        <v>#REF!</v>
      </c>
      <c r="N24" s="115" t="e">
        <f>#REF!+#REF!</f>
        <v>#REF!</v>
      </c>
      <c r="O24" s="115" t="e">
        <f>#REF!+#REF!</f>
        <v>#REF!</v>
      </c>
    </row>
    <row r="25" spans="1:15" ht="33.75" customHeight="1">
      <c r="A25" s="110"/>
      <c r="B25" s="122" t="s">
        <v>187</v>
      </c>
      <c r="C25" s="123">
        <v>911</v>
      </c>
      <c r="D25" s="124" t="s">
        <v>180</v>
      </c>
      <c r="E25" s="124" t="s">
        <v>188</v>
      </c>
      <c r="F25" s="124"/>
      <c r="G25" s="125">
        <f>G26</f>
        <v>67</v>
      </c>
      <c r="H25" s="126"/>
      <c r="I25" s="126"/>
      <c r="J25" s="126"/>
      <c r="K25" s="126"/>
      <c r="L25" s="127"/>
      <c r="M25" s="127"/>
      <c r="N25" s="127"/>
      <c r="O25" s="127"/>
    </row>
    <row r="26" spans="1:15" ht="21" customHeight="1">
      <c r="A26" s="110"/>
      <c r="B26" s="122" t="s">
        <v>189</v>
      </c>
      <c r="C26" s="123">
        <v>911</v>
      </c>
      <c r="D26" s="124" t="s">
        <v>180</v>
      </c>
      <c r="E26" s="124" t="s">
        <v>188</v>
      </c>
      <c r="F26" s="124" t="s">
        <v>190</v>
      </c>
      <c r="G26" s="125">
        <v>67</v>
      </c>
      <c r="H26" s="126"/>
      <c r="I26" s="126"/>
      <c r="J26" s="126"/>
      <c r="K26" s="126"/>
      <c r="L26" s="127"/>
      <c r="M26" s="127"/>
      <c r="N26" s="127"/>
      <c r="O26" s="127"/>
    </row>
    <row r="27" spans="1:15" ht="12.75" customHeight="1">
      <c r="A27" s="93" t="s">
        <v>191</v>
      </c>
      <c r="B27" s="4" t="s">
        <v>192</v>
      </c>
      <c r="C27" s="117">
        <v>911</v>
      </c>
      <c r="D27" s="128" t="s">
        <v>193</v>
      </c>
      <c r="E27" s="121"/>
      <c r="F27" s="121"/>
      <c r="G27" s="102">
        <f>G28</f>
        <v>100</v>
      </c>
      <c r="H27" s="103"/>
      <c r="I27" s="103"/>
      <c r="J27" s="103"/>
      <c r="K27" s="103"/>
      <c r="L27" s="104">
        <f aca="true" t="shared" si="0" ref="L27:O28">L28</f>
        <v>0</v>
      </c>
      <c r="M27" s="104">
        <f t="shared" si="0"/>
        <v>0</v>
      </c>
      <c r="N27" s="104">
        <f t="shared" si="0"/>
        <v>0</v>
      </c>
      <c r="O27" s="104">
        <f t="shared" si="0"/>
        <v>40</v>
      </c>
    </row>
    <row r="28" spans="1:15" ht="13.5" customHeight="1">
      <c r="A28" s="110"/>
      <c r="B28" s="94" t="s">
        <v>194</v>
      </c>
      <c r="C28" s="119">
        <v>911</v>
      </c>
      <c r="D28" s="101" t="s">
        <v>193</v>
      </c>
      <c r="E28" s="101" t="s">
        <v>195</v>
      </c>
      <c r="F28" s="101"/>
      <c r="G28" s="107">
        <f>G29</f>
        <v>100</v>
      </c>
      <c r="H28" s="114"/>
      <c r="I28" s="114"/>
      <c r="J28" s="114"/>
      <c r="K28" s="114"/>
      <c r="L28" s="115">
        <f t="shared" si="0"/>
        <v>0</v>
      </c>
      <c r="M28" s="115">
        <f t="shared" si="0"/>
        <v>0</v>
      </c>
      <c r="N28" s="115">
        <f t="shared" si="0"/>
        <v>0</v>
      </c>
      <c r="O28" s="115">
        <f t="shared" si="0"/>
        <v>40</v>
      </c>
    </row>
    <row r="29" spans="1:15" ht="13.5" customHeight="1">
      <c r="A29" s="110"/>
      <c r="B29" s="94" t="s">
        <v>196</v>
      </c>
      <c r="C29" s="119">
        <v>911</v>
      </c>
      <c r="D29" s="101" t="s">
        <v>193</v>
      </c>
      <c r="E29" s="101" t="s">
        <v>195</v>
      </c>
      <c r="F29" s="101" t="s">
        <v>197</v>
      </c>
      <c r="G29" s="107">
        <f>40+60</f>
        <v>100</v>
      </c>
      <c r="H29" s="114"/>
      <c r="I29" s="114"/>
      <c r="J29" s="114"/>
      <c r="K29" s="114"/>
      <c r="L29" s="115">
        <f>40-40</f>
        <v>0</v>
      </c>
      <c r="M29" s="115">
        <f>0+40-40</f>
        <v>0</v>
      </c>
      <c r="N29" s="115">
        <f>0+40-40</f>
        <v>0</v>
      </c>
      <c r="O29" s="115">
        <f>0+40</f>
        <v>40</v>
      </c>
    </row>
    <row r="30" spans="1:15" ht="16.5" customHeight="1">
      <c r="A30" s="93" t="s">
        <v>198</v>
      </c>
      <c r="B30" s="4" t="s">
        <v>199</v>
      </c>
      <c r="C30" s="119">
        <v>911</v>
      </c>
      <c r="D30" s="128" t="s">
        <v>200</v>
      </c>
      <c r="E30" s="129"/>
      <c r="F30" s="129"/>
      <c r="G30" s="102">
        <f>G31+G33</f>
        <v>490</v>
      </c>
      <c r="H30" s="130">
        <f>259.5+21.4-12-73</f>
        <v>195.89999999999998</v>
      </c>
      <c r="I30" s="130">
        <f>339.5+21.4-15-111-55-73-60</f>
        <v>46.89999999999998</v>
      </c>
      <c r="J30" s="130">
        <f>589.5+21.4-30-350-6.5-73-60</f>
        <v>91.39999999999998</v>
      </c>
      <c r="K30" s="130">
        <f>424.5+21.4-115-6.5-100-73-60</f>
        <v>91.39999999999998</v>
      </c>
      <c r="L30" s="104" t="e">
        <f>L31+#REF!+#REF!</f>
        <v>#REF!</v>
      </c>
      <c r="M30" s="104" t="e">
        <f>M31+#REF!+#REF!</f>
        <v>#REF!</v>
      </c>
      <c r="N30" s="104" t="e">
        <f>N31+#REF!+#REF!</f>
        <v>#REF!</v>
      </c>
      <c r="O30" s="104" t="e">
        <f>O31+#REF!+#REF!</f>
        <v>#REF!</v>
      </c>
    </row>
    <row r="31" spans="1:17" ht="33.75">
      <c r="A31" s="110"/>
      <c r="B31" s="131" t="s">
        <v>201</v>
      </c>
      <c r="C31" s="119">
        <v>911</v>
      </c>
      <c r="D31" s="120" t="s">
        <v>200</v>
      </c>
      <c r="E31" s="132" t="s">
        <v>202</v>
      </c>
      <c r="F31" s="129"/>
      <c r="G31" s="107">
        <f>G32</f>
        <v>430</v>
      </c>
      <c r="H31" s="130"/>
      <c r="I31" s="130"/>
      <c r="J31" s="130"/>
      <c r="K31" s="130"/>
      <c r="L31" s="111" t="e">
        <f>L32</f>
        <v>#REF!</v>
      </c>
      <c r="M31" s="111" t="e">
        <f>M32</f>
        <v>#REF!</v>
      </c>
      <c r="N31" s="111" t="e">
        <f>N32</f>
        <v>#REF!</v>
      </c>
      <c r="O31" s="111" t="e">
        <f>O32</f>
        <v>#REF!</v>
      </c>
      <c r="Q31" s="133"/>
    </row>
    <row r="32" spans="1:15" ht="12.75">
      <c r="A32" s="110"/>
      <c r="B32" s="94" t="s">
        <v>203</v>
      </c>
      <c r="C32" s="119">
        <v>911</v>
      </c>
      <c r="D32" s="101" t="s">
        <v>200</v>
      </c>
      <c r="E32" s="132" t="s">
        <v>202</v>
      </c>
      <c r="F32" s="134" t="s">
        <v>204</v>
      </c>
      <c r="G32" s="107">
        <v>430</v>
      </c>
      <c r="H32" s="135"/>
      <c r="I32" s="135"/>
      <c r="J32" s="135"/>
      <c r="K32" s="135"/>
      <c r="L32" s="115" t="e">
        <f>#REF!</f>
        <v>#REF!</v>
      </c>
      <c r="M32" s="115" t="e">
        <f>#REF!</f>
        <v>#REF!</v>
      </c>
      <c r="N32" s="115" t="e">
        <f>#REF!</f>
        <v>#REF!</v>
      </c>
      <c r="O32" s="115" t="e">
        <f>#REF!</f>
        <v>#REF!</v>
      </c>
    </row>
    <row r="33" spans="1:15" ht="12.75">
      <c r="A33" s="110"/>
      <c r="B33" s="94" t="s">
        <v>205</v>
      </c>
      <c r="C33" s="119">
        <v>911</v>
      </c>
      <c r="D33" s="101" t="s">
        <v>200</v>
      </c>
      <c r="E33" s="132" t="s">
        <v>206</v>
      </c>
      <c r="F33" s="134"/>
      <c r="G33" s="107">
        <f>G34</f>
        <v>60</v>
      </c>
      <c r="H33" s="135"/>
      <c r="I33" s="135"/>
      <c r="J33" s="135"/>
      <c r="K33" s="135"/>
      <c r="L33" s="115"/>
      <c r="M33" s="115"/>
      <c r="N33" s="115"/>
      <c r="O33" s="115"/>
    </row>
    <row r="34" spans="1:15" ht="12.75">
      <c r="A34" s="110"/>
      <c r="B34" s="94" t="s">
        <v>196</v>
      </c>
      <c r="C34" s="119">
        <v>911</v>
      </c>
      <c r="D34" s="101" t="s">
        <v>200</v>
      </c>
      <c r="E34" s="132" t="s">
        <v>206</v>
      </c>
      <c r="F34" s="134" t="s">
        <v>197</v>
      </c>
      <c r="G34" s="107">
        <v>60</v>
      </c>
      <c r="H34" s="135"/>
      <c r="I34" s="135"/>
      <c r="J34" s="135"/>
      <c r="K34" s="135"/>
      <c r="L34" s="115"/>
      <c r="M34" s="115"/>
      <c r="N34" s="115"/>
      <c r="O34" s="115"/>
    </row>
    <row r="35" spans="1:15" s="140" customFormat="1" ht="15" customHeight="1">
      <c r="A35" s="136" t="s">
        <v>207</v>
      </c>
      <c r="B35" s="94" t="s">
        <v>208</v>
      </c>
      <c r="C35" s="119">
        <v>911</v>
      </c>
      <c r="D35" s="137" t="s">
        <v>209</v>
      </c>
      <c r="E35" s="138"/>
      <c r="F35" s="138"/>
      <c r="G35" s="102">
        <f>G36</f>
        <v>116.2</v>
      </c>
      <c r="H35" s="139" t="e">
        <f>H36+#REF!</f>
        <v>#REF!</v>
      </c>
      <c r="I35" s="139" t="e">
        <f>I36+#REF!</f>
        <v>#REF!</v>
      </c>
      <c r="J35" s="139" t="e">
        <f>J36+#REF!</f>
        <v>#REF!</v>
      </c>
      <c r="K35" s="139" t="e">
        <f>K36+#REF!</f>
        <v>#REF!</v>
      </c>
      <c r="L35" s="104" t="e">
        <f aca="true" t="shared" si="1" ref="L35:O36">L36</f>
        <v>#REF!</v>
      </c>
      <c r="M35" s="104" t="e">
        <f t="shared" si="1"/>
        <v>#REF!</v>
      </c>
      <c r="N35" s="104" t="e">
        <f t="shared" si="1"/>
        <v>#REF!</v>
      </c>
      <c r="O35" s="104" t="e">
        <f t="shared" si="1"/>
        <v>#REF!</v>
      </c>
    </row>
    <row r="36" spans="1:15" ht="24.75" customHeight="1">
      <c r="A36" s="110" t="s">
        <v>210</v>
      </c>
      <c r="B36" s="4" t="s">
        <v>211</v>
      </c>
      <c r="C36" s="119">
        <v>911</v>
      </c>
      <c r="D36" s="128" t="s">
        <v>212</v>
      </c>
      <c r="E36" s="121"/>
      <c r="F36" s="121"/>
      <c r="G36" s="102">
        <f>G37</f>
        <v>116.2</v>
      </c>
      <c r="H36" s="109">
        <f>76-50.5-5</f>
        <v>20.5</v>
      </c>
      <c r="I36" s="109">
        <f>76+500-260-5-240</f>
        <v>71</v>
      </c>
      <c r="J36" s="109">
        <f>76-5</f>
        <v>71</v>
      </c>
      <c r="K36" s="109">
        <f>77-5</f>
        <v>72</v>
      </c>
      <c r="L36" s="104" t="e">
        <f t="shared" si="1"/>
        <v>#REF!</v>
      </c>
      <c r="M36" s="104" t="e">
        <f t="shared" si="1"/>
        <v>#REF!</v>
      </c>
      <c r="N36" s="104" t="e">
        <f t="shared" si="1"/>
        <v>#REF!</v>
      </c>
      <c r="O36" s="104" t="e">
        <f t="shared" si="1"/>
        <v>#REF!</v>
      </c>
    </row>
    <row r="37" spans="1:15" ht="43.5" customHeight="1">
      <c r="A37" s="110"/>
      <c r="B37" s="94" t="s">
        <v>329</v>
      </c>
      <c r="C37" s="119">
        <v>911</v>
      </c>
      <c r="D37" s="101" t="s">
        <v>212</v>
      </c>
      <c r="E37" s="101" t="s">
        <v>213</v>
      </c>
      <c r="F37" s="101"/>
      <c r="G37" s="107">
        <f>G38</f>
        <v>116.2</v>
      </c>
      <c r="H37" s="114"/>
      <c r="I37" s="114"/>
      <c r="J37" s="114"/>
      <c r="K37" s="114"/>
      <c r="L37" s="115" t="e">
        <f>L38+#REF!+#REF!</f>
        <v>#REF!</v>
      </c>
      <c r="M37" s="115" t="e">
        <f>M38+#REF!+#REF!</f>
        <v>#REF!</v>
      </c>
      <c r="N37" s="115" t="e">
        <f>N38+#REF!+#REF!</f>
        <v>#REF!</v>
      </c>
      <c r="O37" s="115" t="e">
        <f>O38+#REF!+#REF!</f>
        <v>#REF!</v>
      </c>
    </row>
    <row r="38" spans="1:15" ht="12.75">
      <c r="A38" s="110"/>
      <c r="B38" s="94" t="s">
        <v>167</v>
      </c>
      <c r="C38" s="119">
        <v>911</v>
      </c>
      <c r="D38" s="101" t="s">
        <v>212</v>
      </c>
      <c r="E38" s="101" t="s">
        <v>213</v>
      </c>
      <c r="F38" s="101" t="s">
        <v>168</v>
      </c>
      <c r="G38" s="107">
        <f>63.3+2.9+50</f>
        <v>116.2</v>
      </c>
      <c r="H38" s="114"/>
      <c r="I38" s="114"/>
      <c r="J38" s="114"/>
      <c r="K38" s="114"/>
      <c r="L38" s="115" t="e">
        <f>#REF!+#REF!</f>
        <v>#REF!</v>
      </c>
      <c r="M38" s="115" t="e">
        <f>#REF!+#REF!</f>
        <v>#REF!</v>
      </c>
      <c r="N38" s="115" t="e">
        <f>#REF!+#REF!</f>
        <v>#REF!</v>
      </c>
      <c r="O38" s="115" t="e">
        <f>#REF!+#REF!</f>
        <v>#REF!</v>
      </c>
    </row>
    <row r="39" spans="1:15" ht="12.75">
      <c r="A39" s="110" t="s">
        <v>214</v>
      </c>
      <c r="B39" s="94" t="s">
        <v>323</v>
      </c>
      <c r="C39" s="119">
        <v>911</v>
      </c>
      <c r="D39" s="96" t="s">
        <v>320</v>
      </c>
      <c r="E39" s="101"/>
      <c r="F39" s="101"/>
      <c r="G39" s="102">
        <f>G40</f>
        <v>165</v>
      </c>
      <c r="H39" s="114"/>
      <c r="I39" s="114"/>
      <c r="J39" s="114"/>
      <c r="K39" s="114"/>
      <c r="L39" s="115"/>
      <c r="M39" s="115"/>
      <c r="N39" s="115"/>
      <c r="O39" s="115"/>
    </row>
    <row r="40" spans="1:15" ht="12.75">
      <c r="A40" s="110"/>
      <c r="B40" s="4" t="s">
        <v>324</v>
      </c>
      <c r="C40" s="119">
        <v>911</v>
      </c>
      <c r="D40" s="96" t="s">
        <v>321</v>
      </c>
      <c r="E40" s="101"/>
      <c r="F40" s="101"/>
      <c r="G40" s="107">
        <f>G41</f>
        <v>165</v>
      </c>
      <c r="H40" s="114"/>
      <c r="I40" s="114"/>
      <c r="J40" s="114"/>
      <c r="K40" s="114"/>
      <c r="L40" s="115"/>
      <c r="M40" s="115"/>
      <c r="N40" s="115"/>
      <c r="O40" s="115"/>
    </row>
    <row r="41" spans="1:15" ht="68.25" customHeight="1">
      <c r="A41" s="110"/>
      <c r="B41" s="94" t="s">
        <v>331</v>
      </c>
      <c r="C41" s="119">
        <v>911</v>
      </c>
      <c r="D41" s="101" t="s">
        <v>321</v>
      </c>
      <c r="E41" s="101" t="s">
        <v>322</v>
      </c>
      <c r="F41" s="101"/>
      <c r="G41" s="107">
        <f>G42</f>
        <v>165</v>
      </c>
      <c r="H41" s="114"/>
      <c r="I41" s="114"/>
      <c r="J41" s="114"/>
      <c r="K41" s="114"/>
      <c r="L41" s="115"/>
      <c r="M41" s="115"/>
      <c r="N41" s="115"/>
      <c r="O41" s="115"/>
    </row>
    <row r="42" spans="1:15" ht="22.5">
      <c r="A42" s="110"/>
      <c r="B42" s="141" t="s">
        <v>332</v>
      </c>
      <c r="C42" s="119">
        <v>911</v>
      </c>
      <c r="D42" s="101" t="s">
        <v>321</v>
      </c>
      <c r="E42" s="101" t="s">
        <v>330</v>
      </c>
      <c r="F42" s="101"/>
      <c r="G42" s="107">
        <f>G43</f>
        <v>165</v>
      </c>
      <c r="H42" s="114"/>
      <c r="I42" s="114"/>
      <c r="J42" s="114"/>
      <c r="K42" s="114"/>
      <c r="L42" s="115"/>
      <c r="M42" s="115"/>
      <c r="N42" s="115"/>
      <c r="O42" s="115"/>
    </row>
    <row r="43" spans="1:15" ht="12.75">
      <c r="A43" s="110"/>
      <c r="B43" s="94" t="s">
        <v>167</v>
      </c>
      <c r="C43" s="119">
        <v>911</v>
      </c>
      <c r="D43" s="101" t="s">
        <v>321</v>
      </c>
      <c r="E43" s="101" t="s">
        <v>330</v>
      </c>
      <c r="F43" s="101" t="s">
        <v>168</v>
      </c>
      <c r="G43" s="107">
        <v>165</v>
      </c>
      <c r="H43" s="114"/>
      <c r="I43" s="114"/>
      <c r="J43" s="114"/>
      <c r="K43" s="114"/>
      <c r="L43" s="115"/>
      <c r="M43" s="115"/>
      <c r="N43" s="115"/>
      <c r="O43" s="115"/>
    </row>
    <row r="44" spans="1:15" ht="12.75">
      <c r="A44" s="93" t="s">
        <v>251</v>
      </c>
      <c r="B44" s="94" t="s">
        <v>215</v>
      </c>
      <c r="C44" s="119">
        <v>911</v>
      </c>
      <c r="D44" s="96" t="s">
        <v>216</v>
      </c>
      <c r="E44" s="97"/>
      <c r="F44" s="97"/>
      <c r="G44" s="102">
        <f>G45+G70</f>
        <v>48870.2</v>
      </c>
      <c r="H44" s="5">
        <f>SUM(H45:H48)</f>
        <v>0</v>
      </c>
      <c r="I44" s="5">
        <f>SUM(I45:I48)</f>
        <v>4532.02</v>
      </c>
      <c r="J44" s="5">
        <f>SUM(J45:J48)</f>
        <v>4435</v>
      </c>
      <c r="K44" s="5">
        <f>SUM(K45:K48)</f>
        <v>1285</v>
      </c>
      <c r="L44" s="99" t="e">
        <f>#REF!+L45+L70</f>
        <v>#REF!</v>
      </c>
      <c r="M44" s="99" t="e">
        <f>#REF!+M45+M70</f>
        <v>#REF!</v>
      </c>
      <c r="N44" s="99" t="e">
        <f>#REF!+N45+N70</f>
        <v>#REF!</v>
      </c>
      <c r="O44" s="99" t="e">
        <f>#REF!+O45+O70</f>
        <v>#REF!</v>
      </c>
    </row>
    <row r="45" spans="1:15" ht="12.75">
      <c r="A45" s="110" t="s">
        <v>254</v>
      </c>
      <c r="B45" s="4" t="s">
        <v>217</v>
      </c>
      <c r="C45" s="119">
        <v>911</v>
      </c>
      <c r="D45" s="128" t="s">
        <v>218</v>
      </c>
      <c r="E45" s="129"/>
      <c r="F45" s="129"/>
      <c r="G45" s="102">
        <f>G46+G53+G60+G65</f>
        <v>47200</v>
      </c>
      <c r="H45" s="109">
        <f>10-10</f>
        <v>0</v>
      </c>
      <c r="I45" s="109">
        <f>3260+250+15+85+30+100+336.67+355.35+100</f>
        <v>4532.02</v>
      </c>
      <c r="J45" s="109">
        <f>1705+30+10+350+60+30+1200+250+800</f>
        <v>4435</v>
      </c>
      <c r="K45" s="109">
        <f>60+85+1140</f>
        <v>1285</v>
      </c>
      <c r="L45" s="104" t="e">
        <f>SUM(L47,L49,#REF!,#REF!,L53,L60,L63,#REF!,#REF!,#REF!,#REF!,#REF!)</f>
        <v>#REF!</v>
      </c>
      <c r="M45" s="104" t="e">
        <f>SUM(M47,M49,#REF!,#REF!,M53,M60,M63,#REF!,#REF!,#REF!,#REF!,#REF!)</f>
        <v>#REF!</v>
      </c>
      <c r="N45" s="104" t="e">
        <f>SUM(N47,N49,#REF!,#REF!,N53,N60,N63,#REF!,#REF!,#REF!,#REF!,#REF!)</f>
        <v>#REF!</v>
      </c>
      <c r="O45" s="104" t="e">
        <f>SUM(O47,O49,#REF!,#REF!,O53,O60,O63,#REF!,#REF!,#REF!,#REF!,#REF!)</f>
        <v>#REF!</v>
      </c>
    </row>
    <row r="46" spans="1:15" ht="12.75">
      <c r="A46" s="110" t="s">
        <v>257</v>
      </c>
      <c r="B46" s="94" t="s">
        <v>219</v>
      </c>
      <c r="C46" s="119">
        <v>911</v>
      </c>
      <c r="D46" s="120" t="s">
        <v>218</v>
      </c>
      <c r="E46" s="132" t="s">
        <v>220</v>
      </c>
      <c r="F46" s="129"/>
      <c r="G46" s="107">
        <f>G47+G49+G51</f>
        <v>21107</v>
      </c>
      <c r="H46" s="109"/>
      <c r="I46" s="109"/>
      <c r="J46" s="109"/>
      <c r="K46" s="109"/>
      <c r="L46" s="104"/>
      <c r="M46" s="104"/>
      <c r="N46" s="104"/>
      <c r="O46" s="104"/>
    </row>
    <row r="47" spans="1:15" ht="22.5">
      <c r="A47" s="110"/>
      <c r="B47" s="94" t="s">
        <v>221</v>
      </c>
      <c r="C47" s="119">
        <v>911</v>
      </c>
      <c r="D47" s="132" t="s">
        <v>218</v>
      </c>
      <c r="E47" s="132" t="s">
        <v>222</v>
      </c>
      <c r="F47" s="129"/>
      <c r="G47" s="107">
        <f>G48</f>
        <v>15107</v>
      </c>
      <c r="H47" s="109"/>
      <c r="I47" s="109"/>
      <c r="J47" s="109"/>
      <c r="K47" s="109"/>
      <c r="L47" s="111" t="e">
        <f>L48</f>
        <v>#REF!</v>
      </c>
      <c r="M47" s="111" t="e">
        <f>M48</f>
        <v>#REF!</v>
      </c>
      <c r="N47" s="111" t="e">
        <f>N48</f>
        <v>#REF!</v>
      </c>
      <c r="O47" s="111" t="e">
        <f>O48</f>
        <v>#REF!</v>
      </c>
    </row>
    <row r="48" spans="1:15" ht="12.75">
      <c r="A48" s="110"/>
      <c r="B48" s="94" t="s">
        <v>167</v>
      </c>
      <c r="C48" s="119">
        <v>911</v>
      </c>
      <c r="D48" s="132" t="s">
        <v>218</v>
      </c>
      <c r="E48" s="132" t="s">
        <v>222</v>
      </c>
      <c r="F48" s="132" t="s">
        <v>168</v>
      </c>
      <c r="G48" s="107">
        <v>15107</v>
      </c>
      <c r="H48" s="114"/>
      <c r="I48" s="114"/>
      <c r="J48" s="114"/>
      <c r="K48" s="114"/>
      <c r="L48" s="115" t="e">
        <f>#REF!</f>
        <v>#REF!</v>
      </c>
      <c r="M48" s="115" t="e">
        <f>#REF!</f>
        <v>#REF!</v>
      </c>
      <c r="N48" s="115" t="e">
        <f>#REF!</f>
        <v>#REF!</v>
      </c>
      <c r="O48" s="115" t="e">
        <f>#REF!</f>
        <v>#REF!</v>
      </c>
    </row>
    <row r="49" spans="1:15" ht="12.75">
      <c r="A49" s="110"/>
      <c r="B49" s="94" t="s">
        <v>223</v>
      </c>
      <c r="C49" s="119">
        <v>911</v>
      </c>
      <c r="D49" s="132" t="s">
        <v>218</v>
      </c>
      <c r="E49" s="132" t="s">
        <v>224</v>
      </c>
      <c r="F49" s="129"/>
      <c r="G49" s="107">
        <f>G50</f>
        <v>5500</v>
      </c>
      <c r="H49" s="109"/>
      <c r="I49" s="109"/>
      <c r="J49" s="109"/>
      <c r="K49" s="109"/>
      <c r="L49" s="111" t="e">
        <f>L50</f>
        <v>#REF!</v>
      </c>
      <c r="M49" s="111" t="e">
        <f>M50</f>
        <v>#REF!</v>
      </c>
      <c r="N49" s="111" t="e">
        <f>N50</f>
        <v>#REF!</v>
      </c>
      <c r="O49" s="111" t="e">
        <f>O50</f>
        <v>#REF!</v>
      </c>
    </row>
    <row r="50" spans="1:15" ht="12.75">
      <c r="A50" s="110"/>
      <c r="B50" s="94" t="s">
        <v>167</v>
      </c>
      <c r="C50" s="119">
        <v>911</v>
      </c>
      <c r="D50" s="134" t="s">
        <v>218</v>
      </c>
      <c r="E50" s="132" t="s">
        <v>224</v>
      </c>
      <c r="F50" s="134" t="s">
        <v>168</v>
      </c>
      <c r="G50" s="107">
        <v>5500</v>
      </c>
      <c r="H50" s="114"/>
      <c r="I50" s="114"/>
      <c r="J50" s="114"/>
      <c r="K50" s="114"/>
      <c r="L50" s="115" t="e">
        <f>#REF!</f>
        <v>#REF!</v>
      </c>
      <c r="M50" s="115" t="e">
        <f>#REF!</f>
        <v>#REF!</v>
      </c>
      <c r="N50" s="115" t="e">
        <f>#REF!</f>
        <v>#REF!</v>
      </c>
      <c r="O50" s="115" t="e">
        <f>#REF!</f>
        <v>#REF!</v>
      </c>
    </row>
    <row r="51" spans="1:15" ht="22.5">
      <c r="A51" s="110"/>
      <c r="B51" s="141" t="s">
        <v>225</v>
      </c>
      <c r="C51" s="119">
        <v>911</v>
      </c>
      <c r="D51" s="134" t="s">
        <v>218</v>
      </c>
      <c r="E51" s="132" t="s">
        <v>226</v>
      </c>
      <c r="F51" s="134"/>
      <c r="G51" s="107">
        <f>G52</f>
        <v>500</v>
      </c>
      <c r="H51" s="114"/>
      <c r="I51" s="114"/>
      <c r="J51" s="114"/>
      <c r="K51" s="114"/>
      <c r="L51" s="115"/>
      <c r="M51" s="115"/>
      <c r="N51" s="115"/>
      <c r="O51" s="115"/>
    </row>
    <row r="52" spans="1:15" ht="12.75">
      <c r="A52" s="110"/>
      <c r="B52" s="94" t="s">
        <v>167</v>
      </c>
      <c r="C52" s="119">
        <v>911</v>
      </c>
      <c r="D52" s="134" t="s">
        <v>218</v>
      </c>
      <c r="E52" s="132" t="s">
        <v>226</v>
      </c>
      <c r="F52" s="134" t="s">
        <v>168</v>
      </c>
      <c r="G52" s="107">
        <v>500</v>
      </c>
      <c r="H52" s="114"/>
      <c r="I52" s="114"/>
      <c r="J52" s="114"/>
      <c r="K52" s="114"/>
      <c r="L52" s="115"/>
      <c r="M52" s="115"/>
      <c r="N52" s="115"/>
      <c r="O52" s="115"/>
    </row>
    <row r="53" spans="1:15" ht="22.5">
      <c r="A53" s="110" t="s">
        <v>260</v>
      </c>
      <c r="B53" s="94" t="s">
        <v>227</v>
      </c>
      <c r="C53" s="119">
        <v>911</v>
      </c>
      <c r="D53" s="132" t="s">
        <v>218</v>
      </c>
      <c r="E53" s="132" t="s">
        <v>228</v>
      </c>
      <c r="F53" s="129"/>
      <c r="G53" s="107">
        <f>G56+G58+G54</f>
        <v>2700</v>
      </c>
      <c r="H53" s="109"/>
      <c r="I53" s="109"/>
      <c r="J53" s="109"/>
      <c r="K53" s="109"/>
      <c r="L53" s="111" t="e">
        <f>L57</f>
        <v>#REF!</v>
      </c>
      <c r="M53" s="111" t="e">
        <f>M57</f>
        <v>#REF!</v>
      </c>
      <c r="N53" s="111" t="e">
        <f>N57</f>
        <v>#REF!</v>
      </c>
      <c r="O53" s="111" t="e">
        <f>O57</f>
        <v>#REF!</v>
      </c>
    </row>
    <row r="54" spans="1:15" ht="12.75">
      <c r="A54" s="110"/>
      <c r="B54" s="94" t="s">
        <v>346</v>
      </c>
      <c r="C54" s="119">
        <v>911</v>
      </c>
      <c r="D54" s="132" t="s">
        <v>218</v>
      </c>
      <c r="E54" s="132" t="s">
        <v>345</v>
      </c>
      <c r="F54" s="129"/>
      <c r="G54" s="107">
        <f>G55</f>
        <v>200</v>
      </c>
      <c r="H54" s="109"/>
      <c r="I54" s="109"/>
      <c r="J54" s="109"/>
      <c r="K54" s="109"/>
      <c r="L54" s="111"/>
      <c r="M54" s="111"/>
      <c r="N54" s="111"/>
      <c r="O54" s="111"/>
    </row>
    <row r="55" spans="1:15" ht="12.75">
      <c r="A55" s="110"/>
      <c r="B55" s="94" t="s">
        <v>167</v>
      </c>
      <c r="C55" s="119">
        <v>911</v>
      </c>
      <c r="D55" s="132" t="s">
        <v>218</v>
      </c>
      <c r="E55" s="132" t="s">
        <v>345</v>
      </c>
      <c r="F55" s="132" t="s">
        <v>168</v>
      </c>
      <c r="G55" s="107">
        <f>0+200</f>
        <v>200</v>
      </c>
      <c r="H55" s="109"/>
      <c r="I55" s="109"/>
      <c r="J55" s="109"/>
      <c r="K55" s="109"/>
      <c r="L55" s="111"/>
      <c r="M55" s="111"/>
      <c r="N55" s="111"/>
      <c r="O55" s="111"/>
    </row>
    <row r="56" spans="1:15" ht="12.75">
      <c r="A56" s="110"/>
      <c r="B56" s="94" t="s">
        <v>229</v>
      </c>
      <c r="C56" s="119">
        <v>911</v>
      </c>
      <c r="D56" s="132" t="s">
        <v>218</v>
      </c>
      <c r="E56" s="132" t="s">
        <v>230</v>
      </c>
      <c r="F56" s="129"/>
      <c r="G56" s="107">
        <f>G57</f>
        <v>500</v>
      </c>
      <c r="H56" s="109"/>
      <c r="I56" s="109"/>
      <c r="J56" s="109"/>
      <c r="K56" s="109"/>
      <c r="L56" s="111"/>
      <c r="M56" s="111"/>
      <c r="N56" s="111"/>
      <c r="O56" s="111"/>
    </row>
    <row r="57" spans="1:15" ht="12.75">
      <c r="A57" s="110"/>
      <c r="B57" s="94" t="s">
        <v>167</v>
      </c>
      <c r="C57" s="119">
        <v>911</v>
      </c>
      <c r="D57" s="134" t="s">
        <v>218</v>
      </c>
      <c r="E57" s="134" t="s">
        <v>230</v>
      </c>
      <c r="F57" s="134" t="s">
        <v>168</v>
      </c>
      <c r="G57" s="107">
        <v>500</v>
      </c>
      <c r="H57" s="114"/>
      <c r="I57" s="114"/>
      <c r="J57" s="114"/>
      <c r="K57" s="114"/>
      <c r="L57" s="115" t="e">
        <f>#REF!</f>
        <v>#REF!</v>
      </c>
      <c r="M57" s="115" t="e">
        <f>#REF!</f>
        <v>#REF!</v>
      </c>
      <c r="N57" s="115" t="e">
        <f>#REF!</f>
        <v>#REF!</v>
      </c>
      <c r="O57" s="115" t="e">
        <f>#REF!</f>
        <v>#REF!</v>
      </c>
    </row>
    <row r="58" spans="1:15" ht="33.75">
      <c r="A58" s="110"/>
      <c r="B58" s="94" t="s">
        <v>231</v>
      </c>
      <c r="C58" s="119">
        <v>911</v>
      </c>
      <c r="D58" s="134" t="s">
        <v>218</v>
      </c>
      <c r="E58" s="134" t="s">
        <v>232</v>
      </c>
      <c r="F58" s="134"/>
      <c r="G58" s="107">
        <f>G59</f>
        <v>2000</v>
      </c>
      <c r="H58" s="114"/>
      <c r="I58" s="114"/>
      <c r="J58" s="114"/>
      <c r="K58" s="114"/>
      <c r="L58" s="115"/>
      <c r="M58" s="115"/>
      <c r="N58" s="115"/>
      <c r="O58" s="115"/>
    </row>
    <row r="59" spans="1:15" ht="12.75">
      <c r="A59" s="110"/>
      <c r="B59" s="94" t="s">
        <v>167</v>
      </c>
      <c r="C59" s="119">
        <v>911</v>
      </c>
      <c r="D59" s="134" t="s">
        <v>218</v>
      </c>
      <c r="E59" s="134" t="s">
        <v>232</v>
      </c>
      <c r="F59" s="134" t="s">
        <v>168</v>
      </c>
      <c r="G59" s="107">
        <v>2000</v>
      </c>
      <c r="H59" s="114"/>
      <c r="I59" s="114"/>
      <c r="J59" s="114"/>
      <c r="K59" s="114"/>
      <c r="L59" s="115"/>
      <c r="M59" s="115"/>
      <c r="N59" s="115"/>
      <c r="O59" s="115"/>
    </row>
    <row r="60" spans="1:15" ht="12.75">
      <c r="A60" s="110" t="s">
        <v>263</v>
      </c>
      <c r="B60" s="94" t="s">
        <v>233</v>
      </c>
      <c r="C60" s="119">
        <v>911</v>
      </c>
      <c r="D60" s="132" t="s">
        <v>218</v>
      </c>
      <c r="E60" s="132" t="s">
        <v>234</v>
      </c>
      <c r="F60" s="129"/>
      <c r="G60" s="107">
        <f>G61+G63</f>
        <v>3500</v>
      </c>
      <c r="H60" s="109"/>
      <c r="I60" s="109"/>
      <c r="J60" s="109"/>
      <c r="K60" s="109"/>
      <c r="L60" s="111" t="e">
        <f>L62</f>
        <v>#REF!</v>
      </c>
      <c r="M60" s="111" t="e">
        <f>M62</f>
        <v>#REF!</v>
      </c>
      <c r="N60" s="111" t="e">
        <f>N62</f>
        <v>#REF!</v>
      </c>
      <c r="O60" s="111" t="e">
        <f>O62</f>
        <v>#REF!</v>
      </c>
    </row>
    <row r="61" spans="1:15" ht="22.5">
      <c r="A61" s="110"/>
      <c r="B61" s="94" t="s">
        <v>235</v>
      </c>
      <c r="C61" s="119">
        <v>911</v>
      </c>
      <c r="D61" s="132" t="s">
        <v>218</v>
      </c>
      <c r="E61" s="132" t="s">
        <v>236</v>
      </c>
      <c r="F61" s="129"/>
      <c r="G61" s="107">
        <f>G62</f>
        <v>1700</v>
      </c>
      <c r="H61" s="109"/>
      <c r="I61" s="109"/>
      <c r="J61" s="109"/>
      <c r="K61" s="109"/>
      <c r="L61" s="111"/>
      <c r="M61" s="111"/>
      <c r="N61" s="111"/>
      <c r="O61" s="111"/>
    </row>
    <row r="62" spans="1:15" ht="12.75">
      <c r="A62" s="110"/>
      <c r="B62" s="94" t="s">
        <v>167</v>
      </c>
      <c r="C62" s="119">
        <v>911</v>
      </c>
      <c r="D62" s="134" t="s">
        <v>218</v>
      </c>
      <c r="E62" s="134" t="s">
        <v>236</v>
      </c>
      <c r="F62" s="134" t="s">
        <v>168</v>
      </c>
      <c r="G62" s="107">
        <v>1700</v>
      </c>
      <c r="H62" s="114"/>
      <c r="I62" s="114"/>
      <c r="J62" s="114"/>
      <c r="K62" s="114"/>
      <c r="L62" s="115" t="e">
        <f>#REF!</f>
        <v>#REF!</v>
      </c>
      <c r="M62" s="115" t="e">
        <f>#REF!</f>
        <v>#REF!</v>
      </c>
      <c r="N62" s="115" t="e">
        <f>#REF!</f>
        <v>#REF!</v>
      </c>
      <c r="O62" s="115" t="e">
        <f>#REF!</f>
        <v>#REF!</v>
      </c>
    </row>
    <row r="63" spans="1:15" ht="22.5">
      <c r="A63" s="110"/>
      <c r="B63" s="94" t="s">
        <v>237</v>
      </c>
      <c r="C63" s="119">
        <v>911</v>
      </c>
      <c r="D63" s="132" t="s">
        <v>218</v>
      </c>
      <c r="E63" s="132" t="s">
        <v>238</v>
      </c>
      <c r="F63" s="129"/>
      <c r="G63" s="107">
        <f>G64</f>
        <v>1800</v>
      </c>
      <c r="H63" s="109"/>
      <c r="I63" s="109"/>
      <c r="J63" s="109"/>
      <c r="K63" s="109"/>
      <c r="L63" s="111" t="e">
        <f>L64</f>
        <v>#REF!</v>
      </c>
      <c r="M63" s="111" t="e">
        <f>M64</f>
        <v>#REF!</v>
      </c>
      <c r="N63" s="111" t="e">
        <f>N64</f>
        <v>#REF!</v>
      </c>
      <c r="O63" s="111" t="e">
        <f>O64</f>
        <v>#REF!</v>
      </c>
    </row>
    <row r="64" spans="1:15" ht="12.75">
      <c r="A64" s="110"/>
      <c r="B64" s="94" t="s">
        <v>167</v>
      </c>
      <c r="C64" s="119">
        <v>911</v>
      </c>
      <c r="D64" s="134" t="s">
        <v>218</v>
      </c>
      <c r="E64" s="134" t="s">
        <v>238</v>
      </c>
      <c r="F64" s="134" t="s">
        <v>168</v>
      </c>
      <c r="G64" s="107">
        <v>1800</v>
      </c>
      <c r="H64" s="114"/>
      <c r="I64" s="114"/>
      <c r="J64" s="114"/>
      <c r="K64" s="114"/>
      <c r="L64" s="115" t="e">
        <f>#REF!</f>
        <v>#REF!</v>
      </c>
      <c r="M64" s="115" t="e">
        <f>#REF!</f>
        <v>#REF!</v>
      </c>
      <c r="N64" s="115" t="e">
        <f>#REF!</f>
        <v>#REF!</v>
      </c>
      <c r="O64" s="115" t="e">
        <f>#REF!</f>
        <v>#REF!</v>
      </c>
    </row>
    <row r="65" spans="1:15" ht="12.75">
      <c r="A65" s="110" t="s">
        <v>347</v>
      </c>
      <c r="B65" s="94" t="s">
        <v>239</v>
      </c>
      <c r="C65" s="119">
        <v>911</v>
      </c>
      <c r="D65" s="134" t="s">
        <v>218</v>
      </c>
      <c r="E65" s="134" t="s">
        <v>240</v>
      </c>
      <c r="F65" s="134"/>
      <c r="G65" s="107">
        <f>G66+G68</f>
        <v>19893</v>
      </c>
      <c r="H65" s="114"/>
      <c r="I65" s="114"/>
      <c r="J65" s="114"/>
      <c r="K65" s="114"/>
      <c r="L65" s="115"/>
      <c r="M65" s="115"/>
      <c r="N65" s="115"/>
      <c r="O65" s="115"/>
    </row>
    <row r="66" spans="1:15" ht="12.75">
      <c r="A66" s="110"/>
      <c r="B66" s="94" t="s">
        <v>241</v>
      </c>
      <c r="C66" s="119">
        <v>911</v>
      </c>
      <c r="D66" s="134" t="s">
        <v>218</v>
      </c>
      <c r="E66" s="134" t="s">
        <v>242</v>
      </c>
      <c r="F66" s="134"/>
      <c r="G66" s="107">
        <f>G67</f>
        <v>12933</v>
      </c>
      <c r="H66" s="114"/>
      <c r="I66" s="114"/>
      <c r="J66" s="114"/>
      <c r="K66" s="114"/>
      <c r="L66" s="115"/>
      <c r="M66" s="115"/>
      <c r="N66" s="115"/>
      <c r="O66" s="115"/>
    </row>
    <row r="67" spans="1:15" ht="12.75">
      <c r="A67" s="110"/>
      <c r="B67" s="94" t="s">
        <v>167</v>
      </c>
      <c r="C67" s="119">
        <v>911</v>
      </c>
      <c r="D67" s="134" t="s">
        <v>218</v>
      </c>
      <c r="E67" s="134" t="s">
        <v>242</v>
      </c>
      <c r="F67" s="134" t="s">
        <v>168</v>
      </c>
      <c r="G67" s="107">
        <v>12933</v>
      </c>
      <c r="H67" s="114"/>
      <c r="I67" s="114"/>
      <c r="J67" s="114"/>
      <c r="K67" s="114"/>
      <c r="L67" s="115"/>
      <c r="M67" s="115"/>
      <c r="N67" s="115"/>
      <c r="O67" s="115"/>
    </row>
    <row r="68" spans="1:15" ht="12.75">
      <c r="A68" s="110"/>
      <c r="B68" s="94" t="s">
        <v>243</v>
      </c>
      <c r="C68" s="119">
        <v>911</v>
      </c>
      <c r="D68" s="134" t="s">
        <v>218</v>
      </c>
      <c r="E68" s="134" t="s">
        <v>244</v>
      </c>
      <c r="F68" s="134"/>
      <c r="G68" s="107">
        <f>G69</f>
        <v>6960</v>
      </c>
      <c r="H68" s="114"/>
      <c r="I68" s="114"/>
      <c r="J68" s="114"/>
      <c r="K68" s="114"/>
      <c r="L68" s="115"/>
      <c r="M68" s="115"/>
      <c r="N68" s="115"/>
      <c r="O68" s="115"/>
    </row>
    <row r="69" spans="1:15" ht="12.75">
      <c r="A69" s="110"/>
      <c r="B69" s="94" t="s">
        <v>167</v>
      </c>
      <c r="C69" s="119">
        <v>911</v>
      </c>
      <c r="D69" s="134" t="s">
        <v>218</v>
      </c>
      <c r="E69" s="134" t="s">
        <v>244</v>
      </c>
      <c r="F69" s="134" t="s">
        <v>168</v>
      </c>
      <c r="G69" s="107">
        <f>4960+2000</f>
        <v>6960</v>
      </c>
      <c r="H69" s="114"/>
      <c r="I69" s="114"/>
      <c r="J69" s="114"/>
      <c r="K69" s="114"/>
      <c r="L69" s="115"/>
      <c r="M69" s="115"/>
      <c r="N69" s="115"/>
      <c r="O69" s="115"/>
    </row>
    <row r="70" spans="1:15" ht="12.75">
      <c r="A70" s="110" t="s">
        <v>348</v>
      </c>
      <c r="B70" s="4" t="s">
        <v>245</v>
      </c>
      <c r="C70" s="119">
        <v>911</v>
      </c>
      <c r="D70" s="128" t="s">
        <v>246</v>
      </c>
      <c r="E70" s="121"/>
      <c r="F70" s="121"/>
      <c r="G70" s="102">
        <f>G71</f>
        <v>1670.2</v>
      </c>
      <c r="H70" s="114"/>
      <c r="I70" s="114"/>
      <c r="J70" s="114"/>
      <c r="K70" s="114"/>
      <c r="L70" s="99" t="e">
        <f>L71+#REF!</f>
        <v>#REF!</v>
      </c>
      <c r="M70" s="99" t="e">
        <f>M71+#REF!</f>
        <v>#REF!</v>
      </c>
      <c r="N70" s="99" t="e">
        <f>N71+#REF!</f>
        <v>#REF!</v>
      </c>
      <c r="O70" s="99" t="e">
        <f>O71+#REF!</f>
        <v>#REF!</v>
      </c>
    </row>
    <row r="71" spans="1:15" ht="33.75">
      <c r="A71" s="110"/>
      <c r="B71" s="131" t="s">
        <v>247</v>
      </c>
      <c r="C71" s="119">
        <v>911</v>
      </c>
      <c r="D71" s="134" t="s">
        <v>246</v>
      </c>
      <c r="E71" s="134" t="s">
        <v>248</v>
      </c>
      <c r="F71" s="134"/>
      <c r="G71" s="107">
        <f>G72</f>
        <v>1670.2</v>
      </c>
      <c r="H71" s="114"/>
      <c r="I71" s="114"/>
      <c r="J71" s="114"/>
      <c r="K71" s="114"/>
      <c r="L71" s="115" t="e">
        <f>L72</f>
        <v>#REF!</v>
      </c>
      <c r="M71" s="115" t="e">
        <f>M72</f>
        <v>#REF!</v>
      </c>
      <c r="N71" s="115" t="e">
        <f>N72</f>
        <v>#REF!</v>
      </c>
      <c r="O71" s="115" t="e">
        <f>O72</f>
        <v>#REF!</v>
      </c>
    </row>
    <row r="72" spans="1:15" ht="12.75">
      <c r="A72" s="110"/>
      <c r="B72" s="131" t="s">
        <v>249</v>
      </c>
      <c r="C72" s="119">
        <v>911</v>
      </c>
      <c r="D72" s="134" t="s">
        <v>246</v>
      </c>
      <c r="E72" s="134" t="s">
        <v>248</v>
      </c>
      <c r="F72" s="134" t="s">
        <v>250</v>
      </c>
      <c r="G72" s="107">
        <v>1670.2</v>
      </c>
      <c r="H72" s="114"/>
      <c r="I72" s="114"/>
      <c r="J72" s="114"/>
      <c r="K72" s="114"/>
      <c r="L72" s="115" t="e">
        <f>#REF!+#REF!</f>
        <v>#REF!</v>
      </c>
      <c r="M72" s="115" t="e">
        <f>#REF!+#REF!</f>
        <v>#REF!</v>
      </c>
      <c r="N72" s="115" t="e">
        <f>#REF!+#REF!</f>
        <v>#REF!</v>
      </c>
      <c r="O72" s="115" t="e">
        <f>#REF!+#REF!</f>
        <v>#REF!</v>
      </c>
    </row>
    <row r="73" spans="1:15" ht="12.75">
      <c r="A73" s="136" t="s">
        <v>266</v>
      </c>
      <c r="B73" s="94" t="s">
        <v>252</v>
      </c>
      <c r="C73" s="119">
        <v>911</v>
      </c>
      <c r="D73" s="96" t="s">
        <v>253</v>
      </c>
      <c r="E73" s="97"/>
      <c r="F73" s="97"/>
      <c r="G73" s="102">
        <f>G74</f>
        <v>700.4</v>
      </c>
      <c r="H73" s="142">
        <f>SUM(H74:H75)</f>
        <v>120</v>
      </c>
      <c r="I73" s="142">
        <f>SUM(I74:I75)</f>
        <v>330.5</v>
      </c>
      <c r="J73" s="142">
        <f>SUM(J74:J75)</f>
        <v>96.5</v>
      </c>
      <c r="K73" s="142">
        <f>SUM(K74:K75)</f>
        <v>170</v>
      </c>
      <c r="L73" s="99" t="e">
        <f>L74</f>
        <v>#REF!</v>
      </c>
      <c r="M73" s="99" t="e">
        <f>M74</f>
        <v>#REF!</v>
      </c>
      <c r="N73" s="99" t="e">
        <f>N74</f>
        <v>#REF!</v>
      </c>
      <c r="O73" s="99" t="e">
        <f>O74</f>
        <v>#REF!</v>
      </c>
    </row>
    <row r="74" spans="1:15" ht="12.75">
      <c r="A74" s="110" t="s">
        <v>269</v>
      </c>
      <c r="B74" s="4" t="s">
        <v>255</v>
      </c>
      <c r="C74" s="119">
        <v>911</v>
      </c>
      <c r="D74" s="96" t="s">
        <v>256</v>
      </c>
      <c r="E74" s="134"/>
      <c r="F74" s="134"/>
      <c r="G74" s="102">
        <f>G75+G77+G79</f>
        <v>700.4</v>
      </c>
      <c r="H74" s="135">
        <v>40</v>
      </c>
      <c r="I74" s="135">
        <f>164+76.5+10</f>
        <v>250.5</v>
      </c>
      <c r="J74" s="135">
        <f>20+76.5</f>
        <v>96.5</v>
      </c>
      <c r="K74" s="135">
        <v>50</v>
      </c>
      <c r="L74" s="99" t="e">
        <f>L75+#REF!+#REF!+#REF!+L78</f>
        <v>#REF!</v>
      </c>
      <c r="M74" s="99" t="e">
        <f>M75+#REF!+#REF!+#REF!+M78</f>
        <v>#REF!</v>
      </c>
      <c r="N74" s="99" t="e">
        <f>N75+#REF!+#REF!+#REF!+N78</f>
        <v>#REF!</v>
      </c>
      <c r="O74" s="99" t="e">
        <f>O75+#REF!+#REF!+#REF!+O78</f>
        <v>#REF!</v>
      </c>
    </row>
    <row r="75" spans="1:15" ht="21.75" customHeight="1">
      <c r="A75" s="110" t="s">
        <v>272</v>
      </c>
      <c r="B75" s="94" t="s">
        <v>258</v>
      </c>
      <c r="C75" s="119">
        <v>911</v>
      </c>
      <c r="D75" s="132" t="s">
        <v>256</v>
      </c>
      <c r="E75" s="132" t="s">
        <v>259</v>
      </c>
      <c r="F75" s="129"/>
      <c r="G75" s="107">
        <f>G76</f>
        <v>391.3</v>
      </c>
      <c r="H75" s="109">
        <v>80</v>
      </c>
      <c r="I75" s="109">
        <v>80</v>
      </c>
      <c r="J75" s="109">
        <f>453.75-453.75</f>
        <v>0</v>
      </c>
      <c r="K75" s="109">
        <v>120</v>
      </c>
      <c r="L75" s="111" t="e">
        <f>#REF!+#REF!</f>
        <v>#REF!</v>
      </c>
      <c r="M75" s="111" t="e">
        <f>#REF!+#REF!</f>
        <v>#REF!</v>
      </c>
      <c r="N75" s="111" t="e">
        <f>#REF!+#REF!</f>
        <v>#REF!</v>
      </c>
      <c r="O75" s="111" t="e">
        <f>#REF!+#REF!</f>
        <v>#REF!</v>
      </c>
    </row>
    <row r="76" spans="1:15" ht="15" customHeight="1">
      <c r="A76" s="110"/>
      <c r="B76" s="94" t="s">
        <v>167</v>
      </c>
      <c r="C76" s="119">
        <v>911</v>
      </c>
      <c r="D76" s="132" t="s">
        <v>256</v>
      </c>
      <c r="E76" s="132" t="s">
        <v>259</v>
      </c>
      <c r="F76" s="132" t="s">
        <v>168</v>
      </c>
      <c r="G76" s="107">
        <f>381.3+10</f>
        <v>391.3</v>
      </c>
      <c r="H76" s="109"/>
      <c r="I76" s="109"/>
      <c r="J76" s="109"/>
      <c r="K76" s="109"/>
      <c r="L76" s="111"/>
      <c r="M76" s="111"/>
      <c r="N76" s="111"/>
      <c r="O76" s="111"/>
    </row>
    <row r="77" spans="1:15" ht="22.5">
      <c r="A77" s="110" t="s">
        <v>275</v>
      </c>
      <c r="B77" s="94" t="s">
        <v>261</v>
      </c>
      <c r="C77" s="119">
        <v>911</v>
      </c>
      <c r="D77" s="134" t="s">
        <v>256</v>
      </c>
      <c r="E77" s="132" t="s">
        <v>262</v>
      </c>
      <c r="F77" s="134"/>
      <c r="G77" s="107">
        <f>G78</f>
        <v>231.6</v>
      </c>
      <c r="H77" s="114"/>
      <c r="I77" s="114"/>
      <c r="J77" s="114"/>
      <c r="K77" s="114"/>
      <c r="L77" s="115"/>
      <c r="M77" s="115"/>
      <c r="N77" s="115"/>
      <c r="O77" s="115"/>
    </row>
    <row r="78" spans="1:15" ht="15" customHeight="1">
      <c r="A78" s="110"/>
      <c r="B78" s="94" t="s">
        <v>167</v>
      </c>
      <c r="C78" s="119">
        <v>911</v>
      </c>
      <c r="D78" s="132" t="s">
        <v>256</v>
      </c>
      <c r="E78" s="132" t="s">
        <v>262</v>
      </c>
      <c r="F78" s="132" t="s">
        <v>168</v>
      </c>
      <c r="G78" s="107">
        <v>231.6</v>
      </c>
      <c r="H78" s="109"/>
      <c r="I78" s="109"/>
      <c r="J78" s="109"/>
      <c r="K78" s="109"/>
      <c r="L78" s="111" t="e">
        <f>#REF!</f>
        <v>#REF!</v>
      </c>
      <c r="M78" s="111" t="e">
        <f>#REF!</f>
        <v>#REF!</v>
      </c>
      <c r="N78" s="111" t="e">
        <f>#REF!</f>
        <v>#REF!</v>
      </c>
      <c r="O78" s="111" t="e">
        <f>#REF!</f>
        <v>#REF!</v>
      </c>
    </row>
    <row r="79" spans="1:15" ht="24.75" customHeight="1">
      <c r="A79" s="110" t="s">
        <v>349</v>
      </c>
      <c r="B79" s="94" t="s">
        <v>264</v>
      </c>
      <c r="C79" s="119">
        <v>911</v>
      </c>
      <c r="D79" s="132" t="s">
        <v>256</v>
      </c>
      <c r="E79" s="132" t="s">
        <v>265</v>
      </c>
      <c r="F79" s="132"/>
      <c r="G79" s="107">
        <f>G80</f>
        <v>77.5</v>
      </c>
      <c r="H79" s="109"/>
      <c r="I79" s="109"/>
      <c r="J79" s="109"/>
      <c r="K79" s="109"/>
      <c r="L79" s="111"/>
      <c r="M79" s="111"/>
      <c r="N79" s="111"/>
      <c r="O79" s="111"/>
    </row>
    <row r="80" spans="1:15" ht="15" customHeight="1">
      <c r="A80" s="110"/>
      <c r="B80" s="94" t="s">
        <v>167</v>
      </c>
      <c r="C80" s="119">
        <v>911</v>
      </c>
      <c r="D80" s="132" t="s">
        <v>256</v>
      </c>
      <c r="E80" s="132" t="s">
        <v>265</v>
      </c>
      <c r="F80" s="132" t="s">
        <v>168</v>
      </c>
      <c r="G80" s="107">
        <v>77.5</v>
      </c>
      <c r="H80" s="109"/>
      <c r="I80" s="109"/>
      <c r="J80" s="109"/>
      <c r="K80" s="109"/>
      <c r="L80" s="111"/>
      <c r="M80" s="111"/>
      <c r="N80" s="111"/>
      <c r="O80" s="111"/>
    </row>
    <row r="81" spans="1:15" ht="12.75">
      <c r="A81" s="93" t="s">
        <v>278</v>
      </c>
      <c r="B81" s="94" t="s">
        <v>267</v>
      </c>
      <c r="C81" s="119">
        <v>911</v>
      </c>
      <c r="D81" s="96" t="s">
        <v>268</v>
      </c>
      <c r="E81" s="97"/>
      <c r="F81" s="97"/>
      <c r="G81" s="102">
        <f>G82</f>
        <v>7301.1</v>
      </c>
      <c r="H81" s="5">
        <f>SUM(H82:H86)</f>
        <v>240</v>
      </c>
      <c r="I81" s="5">
        <f>SUM(I82:I86)</f>
        <v>1149.33</v>
      </c>
      <c r="J81" s="5">
        <f>SUM(J82:J86)</f>
        <v>353.33</v>
      </c>
      <c r="K81" s="5">
        <f>SUM(K82:K86)</f>
        <v>308.34000000000003</v>
      </c>
      <c r="L81" s="99" t="e">
        <f>L82+#REF!</f>
        <v>#REF!</v>
      </c>
      <c r="M81" s="99" t="e">
        <f>M82+#REF!</f>
        <v>#REF!</v>
      </c>
      <c r="N81" s="99" t="e">
        <f>N82+#REF!</f>
        <v>#REF!</v>
      </c>
      <c r="O81" s="99" t="e">
        <f>O82+#REF!</f>
        <v>#REF!</v>
      </c>
    </row>
    <row r="82" spans="1:15" ht="12.75">
      <c r="A82" s="110" t="s">
        <v>281</v>
      </c>
      <c r="B82" s="4" t="s">
        <v>270</v>
      </c>
      <c r="C82" s="119">
        <v>911</v>
      </c>
      <c r="D82" s="96" t="s">
        <v>271</v>
      </c>
      <c r="E82" s="134"/>
      <c r="F82" s="134"/>
      <c r="G82" s="102">
        <f>G83+G85</f>
        <v>7301.1</v>
      </c>
      <c r="H82" s="114">
        <f>100+100+12+28</f>
        <v>240</v>
      </c>
      <c r="I82" s="114">
        <f>1000+133.33+5+11-272+272</f>
        <v>1149.33</v>
      </c>
      <c r="J82" s="114">
        <f>250+103.33</f>
        <v>353.33</v>
      </c>
      <c r="K82" s="114">
        <f>150+133.34+25</f>
        <v>308.34000000000003</v>
      </c>
      <c r="L82" s="99" t="e">
        <f>SUM(L84,#REF!,#REF!,#REF!,#REF!,#REF!,#REF!,#REF!,#REF!,#REF!,#REF!,#REF!,#REF!,#REF!,#REF!,#REF!,#REF!,L86,#REF!,#REF!,#REF!,#REF!,#REF!)</f>
        <v>#REF!</v>
      </c>
      <c r="M82" s="99" t="e">
        <f>SUM(M84,#REF!,#REF!,#REF!,#REF!,#REF!,#REF!,#REF!,#REF!,#REF!,#REF!,#REF!,#REF!,#REF!,#REF!,#REF!,#REF!,M86,#REF!,#REF!,#REF!,#REF!,#REF!)</f>
        <v>#REF!</v>
      </c>
      <c r="N82" s="99" t="e">
        <f>SUM(N84,#REF!,#REF!,#REF!,#REF!,#REF!,#REF!,#REF!,#REF!,#REF!,#REF!,#REF!,#REF!,#REF!,#REF!,#REF!,#REF!,N86,#REF!,#REF!,#REF!,#REF!,#REF!)</f>
        <v>#REF!</v>
      </c>
      <c r="O82" s="99" t="e">
        <f>SUM(O84,#REF!,#REF!,#REF!,#REF!,#REF!,#REF!,#REF!,#REF!,#REF!,#REF!,#REF!,#REF!,#REF!,#REF!,#REF!,#REF!,O86,#REF!,#REF!,#REF!,#REF!,#REF!)</f>
        <v>#REF!</v>
      </c>
    </row>
    <row r="83" spans="1:15" ht="22.5">
      <c r="A83" s="110" t="s">
        <v>284</v>
      </c>
      <c r="B83" s="94" t="s">
        <v>273</v>
      </c>
      <c r="C83" s="119">
        <v>911</v>
      </c>
      <c r="D83" s="101" t="s">
        <v>271</v>
      </c>
      <c r="E83" s="134" t="s">
        <v>274</v>
      </c>
      <c r="F83" s="134"/>
      <c r="G83" s="107">
        <f>G84</f>
        <v>5758.7</v>
      </c>
      <c r="H83" s="114"/>
      <c r="I83" s="114"/>
      <c r="J83" s="114"/>
      <c r="K83" s="114"/>
      <c r="L83" s="99"/>
      <c r="M83" s="99"/>
      <c r="N83" s="99"/>
      <c r="O83" s="99"/>
    </row>
    <row r="84" spans="1:15" ht="12.75">
      <c r="A84" s="110"/>
      <c r="B84" s="94" t="s">
        <v>167</v>
      </c>
      <c r="C84" s="119">
        <v>911</v>
      </c>
      <c r="D84" s="132" t="s">
        <v>271</v>
      </c>
      <c r="E84" s="134" t="s">
        <v>274</v>
      </c>
      <c r="F84" s="132" t="s">
        <v>168</v>
      </c>
      <c r="G84" s="107">
        <f>5945.2-186.5</f>
        <v>5758.7</v>
      </c>
      <c r="H84" s="109"/>
      <c r="I84" s="109"/>
      <c r="J84" s="109"/>
      <c r="K84" s="109"/>
      <c r="L84" s="111" t="e">
        <f>#REF!+#REF!</f>
        <v>#REF!</v>
      </c>
      <c r="M84" s="111" t="e">
        <f>#REF!+#REF!</f>
        <v>#REF!</v>
      </c>
      <c r="N84" s="111" t="e">
        <f>#REF!+#REF!</f>
        <v>#REF!</v>
      </c>
      <c r="O84" s="111" t="e">
        <f>#REF!+#REF!</f>
        <v>#REF!</v>
      </c>
    </row>
    <row r="85" spans="1:15" ht="23.25" customHeight="1">
      <c r="A85" s="143" t="s">
        <v>287</v>
      </c>
      <c r="B85" s="94" t="s">
        <v>276</v>
      </c>
      <c r="C85" s="119">
        <v>911</v>
      </c>
      <c r="D85" s="134" t="s">
        <v>271</v>
      </c>
      <c r="E85" s="132" t="s">
        <v>277</v>
      </c>
      <c r="F85" s="134"/>
      <c r="G85" s="107">
        <f>G86</f>
        <v>1542.4</v>
      </c>
      <c r="H85" s="114"/>
      <c r="I85" s="114"/>
      <c r="J85" s="114"/>
      <c r="K85" s="114"/>
      <c r="L85" s="115"/>
      <c r="M85" s="115"/>
      <c r="N85" s="115"/>
      <c r="O85" s="115"/>
    </row>
    <row r="86" spans="1:15" ht="15.75" customHeight="1">
      <c r="A86" s="143"/>
      <c r="B86" s="94" t="s">
        <v>167</v>
      </c>
      <c r="C86" s="119">
        <v>911</v>
      </c>
      <c r="D86" s="132" t="s">
        <v>271</v>
      </c>
      <c r="E86" s="132" t="s">
        <v>277</v>
      </c>
      <c r="F86" s="134" t="s">
        <v>168</v>
      </c>
      <c r="G86" s="107">
        <f>1302.4+240</f>
        <v>1542.4</v>
      </c>
      <c r="H86" s="109"/>
      <c r="I86" s="109"/>
      <c r="J86" s="109"/>
      <c r="K86" s="109"/>
      <c r="L86" s="111" t="e">
        <f>#REF!</f>
        <v>#REF!</v>
      </c>
      <c r="M86" s="111" t="e">
        <f>#REF!</f>
        <v>#REF!</v>
      </c>
      <c r="N86" s="111" t="e">
        <f>#REF!</f>
        <v>#REF!</v>
      </c>
      <c r="O86" s="111" t="e">
        <f>#REF!</f>
        <v>#REF!</v>
      </c>
    </row>
    <row r="87" spans="1:15" ht="12.75">
      <c r="A87" s="136" t="s">
        <v>292</v>
      </c>
      <c r="B87" s="141" t="s">
        <v>279</v>
      </c>
      <c r="C87" s="163">
        <v>911</v>
      </c>
      <c r="D87" s="128" t="s">
        <v>280</v>
      </c>
      <c r="E87" s="164"/>
      <c r="F87" s="164"/>
      <c r="G87" s="102">
        <f>G91+G88</f>
        <v>11585.7</v>
      </c>
      <c r="H87" s="142" t="e">
        <f>SUM(H91,#REF!)</f>
        <v>#REF!</v>
      </c>
      <c r="I87" s="142" t="e">
        <f>SUM(I91,#REF!)</f>
        <v>#REF!</v>
      </c>
      <c r="J87" s="142" t="e">
        <f>SUM(J91,#REF!)</f>
        <v>#REF!</v>
      </c>
      <c r="K87" s="142" t="e">
        <f>SUM(K91,#REF!)</f>
        <v>#REF!</v>
      </c>
      <c r="L87" s="99" t="e">
        <f>SUM(#REF!,L91)</f>
        <v>#REF!</v>
      </c>
      <c r="M87" s="99" t="e">
        <f>SUM(#REF!,M91)</f>
        <v>#REF!</v>
      </c>
      <c r="N87" s="99" t="e">
        <f>SUM(#REF!,N91)</f>
        <v>#REF!</v>
      </c>
      <c r="O87" s="99" t="e">
        <f>SUM(#REF!,O91)</f>
        <v>#REF!</v>
      </c>
    </row>
    <row r="88" spans="1:15" ht="12.75">
      <c r="A88" s="136"/>
      <c r="B88" s="165" t="s">
        <v>325</v>
      </c>
      <c r="C88" s="163">
        <v>911</v>
      </c>
      <c r="D88" s="128" t="s">
        <v>319</v>
      </c>
      <c r="E88" s="145"/>
      <c r="F88" s="145"/>
      <c r="G88" s="102">
        <f>G89</f>
        <v>152.7</v>
      </c>
      <c r="H88" s="142"/>
      <c r="I88" s="142"/>
      <c r="J88" s="142"/>
      <c r="K88" s="142"/>
      <c r="L88" s="99"/>
      <c r="M88" s="99"/>
      <c r="N88" s="99"/>
      <c r="O88" s="99"/>
    </row>
    <row r="89" spans="1:15" ht="22.5">
      <c r="A89" s="136"/>
      <c r="B89" s="141" t="s">
        <v>333</v>
      </c>
      <c r="C89" s="163">
        <v>911</v>
      </c>
      <c r="D89" s="166" t="s">
        <v>319</v>
      </c>
      <c r="E89" s="120" t="s">
        <v>326</v>
      </c>
      <c r="F89" s="164"/>
      <c r="G89" s="107">
        <f>G90</f>
        <v>152.7</v>
      </c>
      <c r="H89" s="142"/>
      <c r="I89" s="142"/>
      <c r="J89" s="142"/>
      <c r="K89" s="142"/>
      <c r="L89" s="99"/>
      <c r="M89" s="99"/>
      <c r="N89" s="99"/>
      <c r="O89" s="99"/>
    </row>
    <row r="90" spans="1:15" ht="12.75">
      <c r="A90" s="136"/>
      <c r="B90" s="141" t="s">
        <v>328</v>
      </c>
      <c r="C90" s="163">
        <v>911</v>
      </c>
      <c r="D90" s="166" t="s">
        <v>319</v>
      </c>
      <c r="E90" s="120" t="s">
        <v>326</v>
      </c>
      <c r="F90" s="164" t="s">
        <v>327</v>
      </c>
      <c r="G90" s="107">
        <v>152.7</v>
      </c>
      <c r="H90" s="142"/>
      <c r="I90" s="142"/>
      <c r="J90" s="142"/>
      <c r="K90" s="142"/>
      <c r="L90" s="99"/>
      <c r="M90" s="99"/>
      <c r="N90" s="99"/>
      <c r="O90" s="99"/>
    </row>
    <row r="91" spans="1:15" ht="12.75">
      <c r="A91" s="147" t="s">
        <v>295</v>
      </c>
      <c r="B91" s="148" t="s">
        <v>282</v>
      </c>
      <c r="C91" s="123">
        <v>911</v>
      </c>
      <c r="D91" s="144" t="s">
        <v>283</v>
      </c>
      <c r="E91" s="149"/>
      <c r="F91" s="149"/>
      <c r="G91" s="146">
        <f>G94+G96+G92</f>
        <v>11433</v>
      </c>
      <c r="H91" s="126">
        <f>0+453.75</f>
        <v>453.75</v>
      </c>
      <c r="I91" s="126">
        <f>0+453.75</f>
        <v>453.75</v>
      </c>
      <c r="J91" s="126">
        <f>0+453.75</f>
        <v>453.75</v>
      </c>
      <c r="K91" s="126">
        <f>0+453.75</f>
        <v>453.75</v>
      </c>
      <c r="L91" s="150" t="e">
        <f>L94+L96</f>
        <v>#REF!</v>
      </c>
      <c r="M91" s="150" t="e">
        <f>M94+M96</f>
        <v>#REF!</v>
      </c>
      <c r="N91" s="150" t="e">
        <f>N94+N96</f>
        <v>#REF!</v>
      </c>
      <c r="O91" s="150" t="e">
        <f>O94+O96</f>
        <v>#REF!</v>
      </c>
    </row>
    <row r="92" spans="1:15" ht="12.75">
      <c r="A92" s="151" t="s">
        <v>298</v>
      </c>
      <c r="B92" s="152" t="s">
        <v>285</v>
      </c>
      <c r="C92" s="123">
        <v>911</v>
      </c>
      <c r="D92" s="149" t="s">
        <v>283</v>
      </c>
      <c r="E92" s="149" t="s">
        <v>286</v>
      </c>
      <c r="F92" s="149"/>
      <c r="G92" s="125">
        <f>G93</f>
        <v>2573</v>
      </c>
      <c r="H92" s="126"/>
      <c r="I92" s="126"/>
      <c r="J92" s="126"/>
      <c r="K92" s="126"/>
      <c r="L92" s="150"/>
      <c r="M92" s="150"/>
      <c r="N92" s="150"/>
      <c r="O92" s="150"/>
    </row>
    <row r="93" spans="1:15" ht="22.5">
      <c r="A93" s="147"/>
      <c r="B93" s="152" t="s">
        <v>189</v>
      </c>
      <c r="C93" s="123">
        <v>911</v>
      </c>
      <c r="D93" s="149" t="s">
        <v>283</v>
      </c>
      <c r="E93" s="149" t="s">
        <v>286</v>
      </c>
      <c r="F93" s="124" t="s">
        <v>190</v>
      </c>
      <c r="G93" s="125">
        <v>2573</v>
      </c>
      <c r="H93" s="126"/>
      <c r="I93" s="126"/>
      <c r="J93" s="126"/>
      <c r="K93" s="126"/>
      <c r="L93" s="150"/>
      <c r="M93" s="150"/>
      <c r="N93" s="150"/>
      <c r="O93" s="150"/>
    </row>
    <row r="94" spans="1:15" ht="16.5" customHeight="1">
      <c r="A94" s="151" t="s">
        <v>350</v>
      </c>
      <c r="B94" s="122" t="s">
        <v>288</v>
      </c>
      <c r="C94" s="123">
        <v>911</v>
      </c>
      <c r="D94" s="149" t="s">
        <v>283</v>
      </c>
      <c r="E94" s="124" t="s">
        <v>289</v>
      </c>
      <c r="F94" s="149"/>
      <c r="G94" s="125">
        <f>G95</f>
        <v>6529.6</v>
      </c>
      <c r="H94" s="126"/>
      <c r="I94" s="126"/>
      <c r="J94" s="126"/>
      <c r="K94" s="126"/>
      <c r="L94" s="127" t="e">
        <f>L95</f>
        <v>#REF!</v>
      </c>
      <c r="M94" s="127" t="e">
        <f>M95</f>
        <v>#REF!</v>
      </c>
      <c r="N94" s="127" t="e">
        <f>N95</f>
        <v>#REF!</v>
      </c>
      <c r="O94" s="127" t="e">
        <f>O95</f>
        <v>#REF!</v>
      </c>
    </row>
    <row r="95" spans="1:15" ht="22.5">
      <c r="A95" s="151"/>
      <c r="B95" s="152" t="s">
        <v>189</v>
      </c>
      <c r="C95" s="123">
        <v>911</v>
      </c>
      <c r="D95" s="149" t="s">
        <v>283</v>
      </c>
      <c r="E95" s="124" t="s">
        <v>289</v>
      </c>
      <c r="F95" s="124" t="s">
        <v>190</v>
      </c>
      <c r="G95" s="125">
        <v>6529.6</v>
      </c>
      <c r="H95" s="126"/>
      <c r="I95" s="126"/>
      <c r="J95" s="126"/>
      <c r="K95" s="126"/>
      <c r="L95" s="127" t="e">
        <f>#REF!</f>
        <v>#REF!</v>
      </c>
      <c r="M95" s="127" t="e">
        <f>#REF!</f>
        <v>#REF!</v>
      </c>
      <c r="N95" s="127" t="e">
        <f>#REF!</f>
        <v>#REF!</v>
      </c>
      <c r="O95" s="127" t="e">
        <f>#REF!</f>
        <v>#REF!</v>
      </c>
    </row>
    <row r="96" spans="1:15" ht="12.75">
      <c r="A96" s="151" t="s">
        <v>351</v>
      </c>
      <c r="B96" s="122" t="s">
        <v>290</v>
      </c>
      <c r="C96" s="123">
        <v>911</v>
      </c>
      <c r="D96" s="124" t="s">
        <v>283</v>
      </c>
      <c r="E96" s="124" t="s">
        <v>291</v>
      </c>
      <c r="F96" s="149"/>
      <c r="G96" s="125">
        <f>G97</f>
        <v>2330.4</v>
      </c>
      <c r="H96" s="126"/>
      <c r="I96" s="126"/>
      <c r="J96" s="126"/>
      <c r="K96" s="126"/>
      <c r="L96" s="127" t="e">
        <f>L97</f>
        <v>#REF!</v>
      </c>
      <c r="M96" s="127" t="e">
        <f>M97</f>
        <v>#REF!</v>
      </c>
      <c r="N96" s="127" t="e">
        <f>N97</f>
        <v>#REF!</v>
      </c>
      <c r="O96" s="127" t="e">
        <f>O97</f>
        <v>#REF!</v>
      </c>
    </row>
    <row r="97" spans="1:15" ht="22.5">
      <c r="A97" s="151"/>
      <c r="B97" s="152" t="s">
        <v>189</v>
      </c>
      <c r="C97" s="119">
        <v>911</v>
      </c>
      <c r="D97" s="124" t="s">
        <v>283</v>
      </c>
      <c r="E97" s="124" t="s">
        <v>291</v>
      </c>
      <c r="F97" s="124" t="s">
        <v>190</v>
      </c>
      <c r="G97" s="125">
        <v>2330.4</v>
      </c>
      <c r="H97" s="126"/>
      <c r="I97" s="126"/>
      <c r="J97" s="126"/>
      <c r="K97" s="126"/>
      <c r="L97" s="127" t="e">
        <f>#REF!</f>
        <v>#REF!</v>
      </c>
      <c r="M97" s="127" t="e">
        <f>#REF!</f>
        <v>#REF!</v>
      </c>
      <c r="N97" s="127" t="e">
        <f>#REF!</f>
        <v>#REF!</v>
      </c>
      <c r="O97" s="127" t="e">
        <f>#REF!</f>
        <v>#REF!</v>
      </c>
    </row>
    <row r="98" spans="1:15" ht="12.75">
      <c r="A98" s="151" t="s">
        <v>301</v>
      </c>
      <c r="B98" s="141" t="s">
        <v>293</v>
      </c>
      <c r="C98" s="119">
        <v>911</v>
      </c>
      <c r="D98" s="128" t="s">
        <v>294</v>
      </c>
      <c r="E98" s="149"/>
      <c r="F98" s="124"/>
      <c r="G98" s="102">
        <f>G99</f>
        <v>562</v>
      </c>
      <c r="H98" s="153"/>
      <c r="I98" s="153"/>
      <c r="J98" s="153"/>
      <c r="K98" s="153"/>
      <c r="L98" s="127"/>
      <c r="M98" s="127"/>
      <c r="N98" s="127"/>
      <c r="O98" s="127"/>
    </row>
    <row r="99" spans="1:15" ht="12.75">
      <c r="A99" s="151" t="s">
        <v>304</v>
      </c>
      <c r="B99" s="4" t="s">
        <v>296</v>
      </c>
      <c r="C99" s="119">
        <v>911</v>
      </c>
      <c r="D99" s="96" t="s">
        <v>297</v>
      </c>
      <c r="E99" s="134"/>
      <c r="F99" s="124"/>
      <c r="G99" s="102">
        <f>G100</f>
        <v>562</v>
      </c>
      <c r="H99" s="153"/>
      <c r="I99" s="153"/>
      <c r="J99" s="153"/>
      <c r="K99" s="153"/>
      <c r="L99" s="127"/>
      <c r="M99" s="127"/>
      <c r="N99" s="127"/>
      <c r="O99" s="127"/>
    </row>
    <row r="100" spans="1:15" ht="22.5">
      <c r="A100" s="151" t="s">
        <v>307</v>
      </c>
      <c r="B100" s="94" t="s">
        <v>299</v>
      </c>
      <c r="C100" s="119">
        <v>911</v>
      </c>
      <c r="D100" s="132" t="s">
        <v>297</v>
      </c>
      <c r="E100" s="120" t="s">
        <v>300</v>
      </c>
      <c r="F100" s="124"/>
      <c r="G100" s="107">
        <f>G101</f>
        <v>562</v>
      </c>
      <c r="H100" s="153"/>
      <c r="I100" s="153"/>
      <c r="J100" s="153"/>
      <c r="K100" s="153"/>
      <c r="L100" s="127"/>
      <c r="M100" s="127"/>
      <c r="N100" s="127"/>
      <c r="O100" s="127"/>
    </row>
    <row r="101" spans="1:15" ht="12.75">
      <c r="A101" s="151"/>
      <c r="B101" s="94" t="s">
        <v>167</v>
      </c>
      <c r="C101" s="119">
        <v>911</v>
      </c>
      <c r="D101" s="132" t="s">
        <v>297</v>
      </c>
      <c r="E101" s="120" t="s">
        <v>300</v>
      </c>
      <c r="F101" s="120" t="s">
        <v>168</v>
      </c>
      <c r="G101" s="107">
        <v>562</v>
      </c>
      <c r="H101" s="153"/>
      <c r="I101" s="153"/>
      <c r="J101" s="153"/>
      <c r="K101" s="153"/>
      <c r="L101" s="127"/>
      <c r="M101" s="127"/>
      <c r="N101" s="127"/>
      <c r="O101" s="127"/>
    </row>
    <row r="102" spans="1:15" ht="12.75">
      <c r="A102" s="151" t="s">
        <v>352</v>
      </c>
      <c r="B102" s="94" t="s">
        <v>302</v>
      </c>
      <c r="C102" s="119">
        <v>911</v>
      </c>
      <c r="D102" s="128" t="s">
        <v>303</v>
      </c>
      <c r="E102" s="120"/>
      <c r="F102" s="120"/>
      <c r="G102" s="107">
        <f>G103</f>
        <v>2500</v>
      </c>
      <c r="H102" s="153"/>
      <c r="I102" s="153"/>
      <c r="J102" s="153"/>
      <c r="K102" s="153"/>
      <c r="L102" s="127"/>
      <c r="M102" s="127"/>
      <c r="N102" s="127"/>
      <c r="O102" s="127"/>
    </row>
    <row r="103" spans="1:15" ht="12.75">
      <c r="A103" s="151" t="s">
        <v>353</v>
      </c>
      <c r="B103" s="4" t="s">
        <v>305</v>
      </c>
      <c r="C103" s="119">
        <v>911</v>
      </c>
      <c r="D103" s="96" t="s">
        <v>306</v>
      </c>
      <c r="E103" s="120"/>
      <c r="F103" s="120"/>
      <c r="G103" s="102">
        <f>G104</f>
        <v>2500</v>
      </c>
      <c r="H103" s="153"/>
      <c r="I103" s="153"/>
      <c r="J103" s="153"/>
      <c r="K103" s="153"/>
      <c r="L103" s="127"/>
      <c r="M103" s="127"/>
      <c r="N103" s="127"/>
      <c r="O103" s="127"/>
    </row>
    <row r="104" spans="1:15" ht="22.5" customHeight="1">
      <c r="A104" s="151" t="s">
        <v>354</v>
      </c>
      <c r="B104" s="94" t="s">
        <v>308</v>
      </c>
      <c r="C104" s="119">
        <v>911</v>
      </c>
      <c r="D104" s="132" t="s">
        <v>306</v>
      </c>
      <c r="E104" s="120" t="s">
        <v>309</v>
      </c>
      <c r="F104" s="120"/>
      <c r="G104" s="107">
        <f>G105</f>
        <v>2500</v>
      </c>
      <c r="H104" s="153"/>
      <c r="I104" s="153"/>
      <c r="J104" s="153"/>
      <c r="K104" s="153"/>
      <c r="L104" s="127"/>
      <c r="M104" s="127"/>
      <c r="N104" s="127"/>
      <c r="O104" s="127"/>
    </row>
    <row r="105" spans="1:15" ht="12.75">
      <c r="A105" s="151"/>
      <c r="B105" s="94" t="s">
        <v>167</v>
      </c>
      <c r="C105" s="119">
        <v>911</v>
      </c>
      <c r="D105" s="132" t="s">
        <v>306</v>
      </c>
      <c r="E105" s="120" t="s">
        <v>309</v>
      </c>
      <c r="F105" s="120" t="s">
        <v>168</v>
      </c>
      <c r="G105" s="107">
        <v>2500</v>
      </c>
      <c r="H105" s="153"/>
      <c r="I105" s="153"/>
      <c r="J105" s="153"/>
      <c r="K105" s="153"/>
      <c r="L105" s="127"/>
      <c r="M105" s="127"/>
      <c r="N105" s="127"/>
      <c r="O105" s="127"/>
    </row>
    <row r="106" spans="1:15" ht="12.75">
      <c r="A106" s="154"/>
      <c r="B106" s="14" t="s">
        <v>310</v>
      </c>
      <c r="C106" s="154"/>
      <c r="D106" s="154"/>
      <c r="E106" s="154"/>
      <c r="F106" s="154"/>
      <c r="G106" s="102">
        <f>G9</f>
        <v>85722.59999999999</v>
      </c>
      <c r="H106" s="3"/>
      <c r="I106" s="3"/>
      <c r="J106" s="3"/>
      <c r="K106" s="3"/>
      <c r="L106" s="99" t="e">
        <f>#REF!+#REF!</f>
        <v>#REF!</v>
      </c>
      <c r="M106" s="99" t="e">
        <f>#REF!+#REF!</f>
        <v>#REF!</v>
      </c>
      <c r="N106" s="99" t="e">
        <f>#REF!+#REF!</f>
        <v>#REF!</v>
      </c>
      <c r="O106" s="99" t="e">
        <f>#REF!+#REF!</f>
        <v>#REF!</v>
      </c>
    </row>
  </sheetData>
  <mergeCells count="4">
    <mergeCell ref="A6:P6"/>
    <mergeCell ref="A1:K1"/>
    <mergeCell ref="A3:K3"/>
    <mergeCell ref="A4:F4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7">
      <selection activeCell="B4" sqref="B4"/>
    </sheetView>
  </sheetViews>
  <sheetFormatPr defaultColWidth="9.00390625" defaultRowHeight="12.75"/>
  <cols>
    <col min="1" max="1" width="27.375" style="0" customWidth="1"/>
    <col min="2" max="2" width="55.125" style="0" customWidth="1"/>
    <col min="3" max="3" width="18.125" style="0" customWidth="1"/>
  </cols>
  <sheetData>
    <row r="2" spans="4:5" ht="12.75">
      <c r="D2" s="182" t="s">
        <v>311</v>
      </c>
      <c r="E2" s="182"/>
    </row>
    <row r="5" ht="12.75">
      <c r="A5" s="168"/>
    </row>
    <row r="7" spans="1:16" s="54" customFormat="1" ht="25.5" customHeight="1">
      <c r="A7" s="169" t="s">
        <v>357</v>
      </c>
      <c r="B7" s="181"/>
      <c r="C7" s="181"/>
      <c r="D7" s="181"/>
      <c r="E7" s="70"/>
      <c r="F7" s="70"/>
      <c r="G7" s="68"/>
      <c r="H7" s="68"/>
      <c r="I7" s="70"/>
      <c r="J7" s="70"/>
      <c r="K7" s="70"/>
      <c r="L7" s="70"/>
      <c r="M7" s="70"/>
      <c r="N7" s="70"/>
      <c r="O7" s="70"/>
      <c r="P7" s="70"/>
    </row>
    <row r="8" spans="1:3" ht="24" customHeight="1">
      <c r="A8" s="169"/>
      <c r="B8" s="169"/>
      <c r="C8" s="169"/>
    </row>
    <row r="9" spans="2:3" ht="25.5" customHeight="1">
      <c r="B9" s="174" t="s">
        <v>334</v>
      </c>
      <c r="C9" s="183"/>
    </row>
    <row r="11" spans="1:3" ht="37.5" customHeight="1">
      <c r="A11" s="30" t="s">
        <v>38</v>
      </c>
      <c r="B11" s="31" t="s">
        <v>40</v>
      </c>
      <c r="C11" s="28" t="s">
        <v>56</v>
      </c>
    </row>
    <row r="12" spans="1:3" ht="25.5" customHeight="1">
      <c r="A12" s="155" t="s">
        <v>312</v>
      </c>
      <c r="B12" s="156" t="s">
        <v>313</v>
      </c>
      <c r="C12" s="157">
        <f>C13</f>
        <v>2192.300000000003</v>
      </c>
    </row>
    <row r="13" spans="1:3" ht="20.25" customHeight="1">
      <c r="A13" s="155" t="s">
        <v>314</v>
      </c>
      <c r="B13" s="156" t="s">
        <v>315</v>
      </c>
      <c r="C13" s="157">
        <f>C14+C15</f>
        <v>2192.300000000003</v>
      </c>
    </row>
    <row r="14" spans="1:3" ht="33" customHeight="1">
      <c r="A14" s="158" t="s">
        <v>316</v>
      </c>
      <c r="B14" s="32" t="s">
        <v>340</v>
      </c>
      <c r="C14" s="159">
        <v>-83530.3</v>
      </c>
    </row>
    <row r="15" spans="1:3" ht="34.5" customHeight="1">
      <c r="A15" s="158" t="s">
        <v>57</v>
      </c>
      <c r="B15" s="32" t="s">
        <v>341</v>
      </c>
      <c r="C15" s="160">
        <v>85722.6</v>
      </c>
    </row>
    <row r="16" spans="1:3" ht="16.5" customHeight="1">
      <c r="A16" s="161"/>
      <c r="B16" s="162" t="s">
        <v>317</v>
      </c>
      <c r="C16" s="99">
        <f>C12</f>
        <v>2192.300000000003</v>
      </c>
    </row>
  </sheetData>
  <mergeCells count="4">
    <mergeCell ref="D2:E2"/>
    <mergeCell ref="A8:C8"/>
    <mergeCell ref="B9:C9"/>
    <mergeCell ref="A7:D7"/>
  </mergeCells>
  <printOptions/>
  <pageMargins left="1.37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Владелец</cp:lastModifiedBy>
  <cp:lastPrinted>2011-12-16T07:29:13Z</cp:lastPrinted>
  <dcterms:created xsi:type="dcterms:W3CDTF">2001-12-26T13:25:46Z</dcterms:created>
  <dcterms:modified xsi:type="dcterms:W3CDTF">2011-12-16T07:58:51Z</dcterms:modified>
  <cp:category/>
  <cp:version/>
  <cp:contentType/>
  <cp:contentStatus/>
</cp:coreProperties>
</file>